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24226"/>
  <xr:revisionPtr revIDLastSave="0" documentId="13_ncr:1_{30260431-CFB3-4DCE-A888-F1E58FC7D07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ВОР" sheetId="4" r:id="rId1"/>
    <sheet name="Расч." sheetId="3" r:id="rId2"/>
  </sheets>
  <definedNames>
    <definedName name="_xlnm._FilterDatabase" localSheetId="0" hidden="1">ВОР!$A$7:$L$857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51" i="4" l="1"/>
  <c r="J851" i="4"/>
  <c r="F850" i="4"/>
  <c r="F849" i="4"/>
  <c r="F847" i="4"/>
  <c r="F846" i="4"/>
  <c r="F844" i="4"/>
  <c r="F843" i="4"/>
  <c r="F842" i="4"/>
  <c r="F841" i="4"/>
  <c r="F839" i="4"/>
  <c r="F838" i="4"/>
  <c r="F837" i="4"/>
  <c r="F836" i="4"/>
  <c r="F835" i="4"/>
  <c r="F834" i="4"/>
  <c r="F833" i="4"/>
  <c r="F831" i="4"/>
  <c r="F830" i="4"/>
  <c r="F829" i="4"/>
  <c r="F827" i="4"/>
  <c r="F825" i="4"/>
  <c r="F823" i="4"/>
  <c r="F822" i="4"/>
  <c r="F820" i="4"/>
  <c r="F818" i="4"/>
  <c r="F816" i="4"/>
  <c r="F813" i="4"/>
  <c r="F811" i="4"/>
  <c r="F809" i="4"/>
  <c r="F807" i="4"/>
  <c r="F804" i="4"/>
  <c r="F803" i="4"/>
  <c r="F802" i="4"/>
  <c r="F800" i="4"/>
  <c r="F799" i="4"/>
  <c r="F798" i="4"/>
  <c r="F796" i="4"/>
  <c r="F795" i="4"/>
  <c r="F794" i="4"/>
  <c r="F792" i="4"/>
  <c r="F791" i="4"/>
  <c r="F790" i="4"/>
  <c r="F788" i="4"/>
  <c r="F786" i="4"/>
  <c r="F784" i="4"/>
  <c r="F783" i="4"/>
  <c r="F782" i="4"/>
  <c r="F781" i="4"/>
  <c r="F780" i="4"/>
  <c r="F779" i="4"/>
  <c r="F778" i="4"/>
  <c r="F776" i="4"/>
  <c r="F775" i="4"/>
  <c r="F774" i="4"/>
  <c r="F772" i="4"/>
  <c r="F770" i="4"/>
  <c r="F768" i="4"/>
  <c r="F767" i="4"/>
  <c r="F765" i="4"/>
  <c r="F763" i="4"/>
  <c r="F761" i="4"/>
  <c r="F759" i="4"/>
  <c r="F755" i="4"/>
  <c r="F754" i="4"/>
  <c r="F753" i="4"/>
  <c r="F752" i="4"/>
  <c r="F751" i="4"/>
  <c r="F749" i="4"/>
  <c r="F748" i="4"/>
  <c r="F747" i="4"/>
  <c r="F746" i="4"/>
  <c r="F745" i="4"/>
  <c r="F744" i="4"/>
  <c r="F743" i="4"/>
  <c r="F741" i="4"/>
  <c r="F740" i="4"/>
  <c r="F739" i="4"/>
  <c r="F737" i="4"/>
  <c r="F735" i="4"/>
  <c r="F733" i="4"/>
  <c r="F732" i="4"/>
  <c r="F730" i="4"/>
  <c r="F728" i="4"/>
  <c r="F726" i="4"/>
  <c r="F723" i="4"/>
  <c r="F722" i="4"/>
  <c r="F720" i="4"/>
  <c r="F719" i="4"/>
  <c r="F718" i="4"/>
  <c r="F717" i="4"/>
  <c r="F716" i="4"/>
  <c r="F715" i="4"/>
  <c r="F714" i="4"/>
  <c r="F712" i="4"/>
  <c r="F711" i="4"/>
  <c r="F710" i="4"/>
  <c r="F708" i="4"/>
  <c r="F706" i="4"/>
  <c r="F704" i="4"/>
  <c r="K703" i="4"/>
  <c r="I703" i="4" s="1"/>
  <c r="F703" i="4"/>
  <c r="F701" i="4"/>
  <c r="F699" i="4"/>
  <c r="F697" i="4"/>
  <c r="F694" i="4"/>
  <c r="F692" i="4"/>
  <c r="F690" i="4"/>
  <c r="F688" i="4"/>
  <c r="F685" i="4"/>
  <c r="F684" i="4"/>
  <c r="F683" i="4"/>
  <c r="F682" i="4"/>
  <c r="F681" i="4"/>
  <c r="F680" i="4"/>
  <c r="F678" i="4"/>
  <c r="F676" i="4"/>
  <c r="F675" i="4"/>
  <c r="F674" i="4"/>
  <c r="F673" i="4"/>
  <c r="F672" i="4"/>
  <c r="F670" i="4"/>
  <c r="F669" i="4"/>
  <c r="F668" i="4"/>
  <c r="F667" i="4"/>
  <c r="F665" i="4"/>
  <c r="F664" i="4"/>
  <c r="F663" i="4"/>
  <c r="F661" i="4"/>
  <c r="F660" i="4"/>
  <c r="F659" i="4"/>
  <c r="F657" i="4"/>
  <c r="F656" i="4"/>
  <c r="F655" i="4"/>
  <c r="F653" i="4"/>
  <c r="F652" i="4"/>
  <c r="F651" i="4"/>
  <c r="F649" i="4"/>
  <c r="F647" i="4"/>
  <c r="F645" i="4"/>
  <c r="F643" i="4"/>
  <c r="F642" i="4"/>
  <c r="F641" i="4"/>
  <c r="F640" i="4"/>
  <c r="F639" i="4"/>
  <c r="F638" i="4"/>
  <c r="F637" i="4"/>
  <c r="F635" i="4"/>
  <c r="F634" i="4"/>
  <c r="F633" i="4"/>
  <c r="F631" i="4"/>
  <c r="F629" i="4"/>
  <c r="F627" i="4"/>
  <c r="F626" i="4"/>
  <c r="F624" i="4"/>
  <c r="F622" i="4"/>
  <c r="F620" i="4"/>
  <c r="F618" i="4"/>
  <c r="F614" i="4"/>
  <c r="F613" i="4"/>
  <c r="F612" i="4"/>
  <c r="F610" i="4"/>
  <c r="F609" i="4"/>
  <c r="F608" i="4"/>
  <c r="F607" i="4"/>
  <c r="F606" i="4"/>
  <c r="F605" i="4"/>
  <c r="F604" i="4"/>
  <c r="F602" i="4"/>
  <c r="F601" i="4"/>
  <c r="F600" i="4"/>
  <c r="F598" i="4"/>
  <c r="F596" i="4"/>
  <c r="F594" i="4"/>
  <c r="F593" i="4"/>
  <c r="F591" i="4"/>
  <c r="F589" i="4"/>
  <c r="F587" i="4"/>
  <c r="F584" i="4"/>
  <c r="F583" i="4"/>
  <c r="F581" i="4"/>
  <c r="F580" i="4"/>
  <c r="F579" i="4"/>
  <c r="F577" i="4"/>
  <c r="F575" i="4"/>
  <c r="F574" i="4"/>
  <c r="F572" i="4"/>
  <c r="F570" i="4"/>
  <c r="F568" i="4"/>
  <c r="F565" i="4"/>
  <c r="F563" i="4"/>
  <c r="F561" i="4"/>
  <c r="F559" i="4"/>
  <c r="F556" i="4"/>
  <c r="F555" i="4"/>
  <c r="F554" i="4"/>
  <c r="F553" i="4"/>
  <c r="F552" i="4"/>
  <c r="F551" i="4"/>
  <c r="F549" i="4"/>
  <c r="F547" i="4"/>
  <c r="F546" i="4"/>
  <c r="F545" i="4"/>
  <c r="F544" i="4"/>
  <c r="F543" i="4"/>
  <c r="F541" i="4"/>
  <c r="F540" i="4"/>
  <c r="F539" i="4"/>
  <c r="F538" i="4"/>
  <c r="F536" i="4"/>
  <c r="F535" i="4"/>
  <c r="F533" i="4"/>
  <c r="F532" i="4"/>
  <c r="F531" i="4"/>
  <c r="F529" i="4"/>
  <c r="F528" i="4"/>
  <c r="F527" i="4"/>
  <c r="F525" i="4"/>
  <c r="F524" i="4"/>
  <c r="F523" i="4"/>
  <c r="F521" i="4"/>
  <c r="F520" i="4"/>
  <c r="F519" i="4"/>
  <c r="F517" i="4"/>
  <c r="F515" i="4"/>
  <c r="F513" i="4"/>
  <c r="F511" i="4"/>
  <c r="F510" i="4"/>
  <c r="F509" i="4"/>
  <c r="F508" i="4"/>
  <c r="F507" i="4"/>
  <c r="F506" i="4"/>
  <c r="F505" i="4"/>
  <c r="F503" i="4"/>
  <c r="F502" i="4"/>
  <c r="F501" i="4"/>
  <c r="F499" i="4"/>
  <c r="F497" i="4"/>
  <c r="F495" i="4"/>
  <c r="F494" i="4"/>
  <c r="F492" i="4"/>
  <c r="F490" i="4"/>
  <c r="F488" i="4"/>
  <c r="F486" i="4"/>
  <c r="F482" i="4"/>
  <c r="F481" i="4"/>
  <c r="F479" i="4"/>
  <c r="F478" i="4"/>
  <c r="F477" i="4"/>
  <c r="F476" i="4"/>
  <c r="F474" i="4"/>
  <c r="F473" i="4"/>
  <c r="F472" i="4"/>
  <c r="F471" i="4"/>
  <c r="F470" i="4"/>
  <c r="F469" i="4"/>
  <c r="F468" i="4"/>
  <c r="F466" i="4"/>
  <c r="F465" i="4"/>
  <c r="F464" i="4"/>
  <c r="F462" i="4"/>
  <c r="F460" i="4"/>
  <c r="F458" i="4"/>
  <c r="F457" i="4"/>
  <c r="F455" i="4"/>
  <c r="F453" i="4"/>
  <c r="F451" i="4"/>
  <c r="F448" i="4"/>
  <c r="F446" i="4"/>
  <c r="F444" i="4"/>
  <c r="F441" i="4"/>
  <c r="F440" i="4"/>
  <c r="F439" i="4"/>
  <c r="F437" i="4"/>
  <c r="F436" i="4"/>
  <c r="F435" i="4"/>
  <c r="F433" i="4"/>
  <c r="K432" i="4"/>
  <c r="I432" i="4" s="1"/>
  <c r="F432" i="4"/>
  <c r="F431" i="4"/>
  <c r="F430" i="4"/>
  <c r="F429" i="4"/>
  <c r="F427" i="4"/>
  <c r="F426" i="4"/>
  <c r="F425" i="4"/>
  <c r="F423" i="4"/>
  <c r="F422" i="4"/>
  <c r="F421" i="4"/>
  <c r="F419" i="4"/>
  <c r="F417" i="4"/>
  <c r="F415" i="4"/>
  <c r="F414" i="4"/>
  <c r="F413" i="4"/>
  <c r="F412" i="4"/>
  <c r="F411" i="4"/>
  <c r="F410" i="4"/>
  <c r="F409" i="4"/>
  <c r="F407" i="4"/>
  <c r="F406" i="4"/>
  <c r="F405" i="4"/>
  <c r="F403" i="4"/>
  <c r="F401" i="4"/>
  <c r="F399" i="4"/>
  <c r="F398" i="4"/>
  <c r="F396" i="4"/>
  <c r="F394" i="4"/>
  <c r="F392" i="4"/>
  <c r="F390" i="4"/>
  <c r="F386" i="4"/>
  <c r="F385" i="4"/>
  <c r="F384" i="4"/>
  <c r="F382" i="4"/>
  <c r="F381" i="4"/>
  <c r="F380" i="4"/>
  <c r="F379" i="4"/>
  <c r="F378" i="4"/>
  <c r="F377" i="4"/>
  <c r="F376" i="4"/>
  <c r="F374" i="4"/>
  <c r="F373" i="4"/>
  <c r="F372" i="4"/>
  <c r="F370" i="4"/>
  <c r="F368" i="4"/>
  <c r="F366" i="4"/>
  <c r="F365" i="4"/>
  <c r="F363" i="4"/>
  <c r="F361" i="4"/>
  <c r="F359" i="4"/>
  <c r="F356" i="4"/>
  <c r="F355" i="4"/>
  <c r="F353" i="4"/>
  <c r="F352" i="4"/>
  <c r="F351" i="4"/>
  <c r="F349" i="4"/>
  <c r="F347" i="4"/>
  <c r="F346" i="4"/>
  <c r="F344" i="4"/>
  <c r="F342" i="4"/>
  <c r="F340" i="4"/>
  <c r="F337" i="4"/>
  <c r="F335" i="4"/>
  <c r="F333" i="4"/>
  <c r="F331" i="4"/>
  <c r="F328" i="4"/>
  <c r="F327" i="4"/>
  <c r="F326" i="4"/>
  <c r="F325" i="4"/>
  <c r="F324" i="4"/>
  <c r="F323" i="4"/>
  <c r="F321" i="4"/>
  <c r="F319" i="4"/>
  <c r="F318" i="4"/>
  <c r="F317" i="4"/>
  <c r="F316" i="4"/>
  <c r="F315" i="4"/>
  <c r="F313" i="4"/>
  <c r="F312" i="4"/>
  <c r="F311" i="4"/>
  <c r="F310" i="4"/>
  <c r="F308" i="4"/>
  <c r="F307" i="4"/>
  <c r="F305" i="4"/>
  <c r="F304" i="4"/>
  <c r="F303" i="4"/>
  <c r="F301" i="4"/>
  <c r="F300" i="4"/>
  <c r="F299" i="4"/>
  <c r="F297" i="4"/>
  <c r="F296" i="4"/>
  <c r="F295" i="4"/>
  <c r="F293" i="4"/>
  <c r="F292" i="4"/>
  <c r="F291" i="4"/>
  <c r="F289" i="4"/>
  <c r="F287" i="4"/>
  <c r="F285" i="4"/>
  <c r="F283" i="4"/>
  <c r="F282" i="4"/>
  <c r="F281" i="4"/>
  <c r="F280" i="4"/>
  <c r="F279" i="4"/>
  <c r="F278" i="4"/>
  <c r="F277" i="4"/>
  <c r="F275" i="4"/>
  <c r="F274" i="4"/>
  <c r="F273" i="4"/>
  <c r="F271" i="4"/>
  <c r="F269" i="4"/>
  <c r="F267" i="4"/>
  <c r="F266" i="4"/>
  <c r="F264" i="4"/>
  <c r="F262" i="4"/>
  <c r="F260" i="4"/>
  <c r="F258" i="4"/>
  <c r="F254" i="4"/>
  <c r="F253" i="4"/>
  <c r="F252" i="4"/>
  <c r="F251" i="4"/>
  <c r="F249" i="4"/>
  <c r="F248" i="4"/>
  <c r="F246" i="4"/>
  <c r="F245" i="4"/>
  <c r="F244" i="4"/>
  <c r="F243" i="4"/>
  <c r="F242" i="4"/>
  <c r="F240" i="4"/>
  <c r="F239" i="4"/>
  <c r="F238" i="4"/>
  <c r="F237" i="4"/>
  <c r="F236" i="4"/>
  <c r="F235" i="4"/>
  <c r="F234" i="4"/>
  <c r="F232" i="4"/>
  <c r="F231" i="4"/>
  <c r="F230" i="4"/>
  <c r="F228" i="4"/>
  <c r="F226" i="4"/>
  <c r="F224" i="4"/>
  <c r="F223" i="4"/>
  <c r="F221" i="4"/>
  <c r="F219" i="4"/>
  <c r="F217" i="4"/>
  <c r="F214" i="4"/>
  <c r="F213" i="4"/>
  <c r="F211" i="4"/>
  <c r="F210" i="4"/>
  <c r="F209" i="4"/>
  <c r="F208" i="4"/>
  <c r="F207" i="4"/>
  <c r="F206" i="4"/>
  <c r="F205" i="4"/>
  <c r="F203" i="4"/>
  <c r="F202" i="4"/>
  <c r="F201" i="4"/>
  <c r="F199" i="4"/>
  <c r="F197" i="4"/>
  <c r="F195" i="4"/>
  <c r="F194" i="4"/>
  <c r="F192" i="4"/>
  <c r="F190" i="4"/>
  <c r="F188" i="4"/>
  <c r="F185" i="4"/>
  <c r="F183" i="4"/>
  <c r="F181" i="4"/>
  <c r="F179" i="4"/>
  <c r="F176" i="4"/>
  <c r="F175" i="4"/>
  <c r="F174" i="4"/>
  <c r="F173" i="4"/>
  <c r="F172" i="4"/>
  <c r="F171" i="4"/>
  <c r="F169" i="4"/>
  <c r="F167" i="4"/>
  <c r="F166" i="4"/>
  <c r="F165" i="4"/>
  <c r="F164" i="4"/>
  <c r="F163" i="4"/>
  <c r="F161" i="4"/>
  <c r="F160" i="4"/>
  <c r="F159" i="4"/>
  <c r="F158" i="4"/>
  <c r="F156" i="4"/>
  <c r="F155" i="4"/>
  <c r="F154" i="4"/>
  <c r="F152" i="4"/>
  <c r="F151" i="4"/>
  <c r="F150" i="4"/>
  <c r="F148" i="4"/>
  <c r="F147" i="4"/>
  <c r="F146" i="4"/>
  <c r="F144" i="4"/>
  <c r="F143" i="4"/>
  <c r="F142" i="4"/>
  <c r="F140" i="4"/>
  <c r="F138" i="4"/>
  <c r="F136" i="4"/>
  <c r="F134" i="4"/>
  <c r="F133" i="4"/>
  <c r="F132" i="4"/>
  <c r="F131" i="4"/>
  <c r="F130" i="4"/>
  <c r="F129" i="4"/>
  <c r="F128" i="4"/>
  <c r="F126" i="4"/>
  <c r="F125" i="4"/>
  <c r="F124" i="4"/>
  <c r="F122" i="4"/>
  <c r="F120" i="4"/>
  <c r="F118" i="4"/>
  <c r="F117" i="4"/>
  <c r="F115" i="4"/>
  <c r="F113" i="4"/>
  <c r="F111" i="4"/>
  <c r="F109" i="4"/>
  <c r="F105" i="4"/>
  <c r="F104" i="4"/>
  <c r="F102" i="4"/>
  <c r="F101" i="4"/>
  <c r="F100" i="4"/>
  <c r="F99" i="4"/>
  <c r="F97" i="4"/>
  <c r="F96" i="4"/>
  <c r="F95" i="4"/>
  <c r="F94" i="4"/>
  <c r="F93" i="4"/>
  <c r="F92" i="4"/>
  <c r="F91" i="4"/>
  <c r="F89" i="4"/>
  <c r="F88" i="4"/>
  <c r="F87" i="4"/>
  <c r="F85" i="4"/>
  <c r="F83" i="4"/>
  <c r="F81" i="4"/>
  <c r="F80" i="4"/>
  <c r="F78" i="4"/>
  <c r="F76" i="4"/>
  <c r="F74" i="4"/>
  <c r="F71" i="4"/>
  <c r="F69" i="4"/>
  <c r="F67" i="4"/>
  <c r="F65" i="4"/>
  <c r="F62" i="4"/>
  <c r="F61" i="4"/>
  <c r="F60" i="4"/>
  <c r="F58" i="4"/>
  <c r="F57" i="4"/>
  <c r="F56" i="4"/>
  <c r="F54" i="4"/>
  <c r="F53" i="4"/>
  <c r="F52" i="4"/>
  <c r="F51" i="4"/>
  <c r="F50" i="4"/>
  <c r="F48" i="4"/>
  <c r="F47" i="4"/>
  <c r="F46" i="4"/>
  <c r="F44" i="4"/>
  <c r="F43" i="4"/>
  <c r="F42" i="4"/>
  <c r="F40" i="4"/>
  <c r="F38" i="4"/>
  <c r="F36" i="4"/>
  <c r="F35" i="4"/>
  <c r="F34" i="4"/>
  <c r="F33" i="4"/>
  <c r="F32" i="4"/>
  <c r="F31" i="4"/>
  <c r="F30" i="4"/>
  <c r="F28" i="4"/>
  <c r="F27" i="4"/>
  <c r="F26" i="4"/>
  <c r="F24" i="4"/>
  <c r="F22" i="4"/>
  <c r="F20" i="4"/>
  <c r="F19" i="4"/>
  <c r="F17" i="4"/>
  <c r="F15" i="4"/>
  <c r="F13" i="4"/>
  <c r="F11" i="4"/>
  <c r="J848" i="4"/>
  <c r="I848" i="4" s="1"/>
  <c r="F848" i="4"/>
  <c r="J845" i="4"/>
  <c r="I845" i="4" s="1"/>
  <c r="F845" i="4"/>
  <c r="J840" i="4"/>
  <c r="I840" i="4" s="1"/>
  <c r="F840" i="4"/>
  <c r="F832" i="4"/>
  <c r="F828" i="4"/>
  <c r="J826" i="4"/>
  <c r="I826" i="4" s="1"/>
  <c r="F826" i="4"/>
  <c r="J824" i="4"/>
  <c r="I824" i="4" s="1"/>
  <c r="F824" i="4"/>
  <c r="J821" i="4"/>
  <c r="I821" i="4" s="1"/>
  <c r="F821" i="4"/>
  <c r="F819" i="4"/>
  <c r="J817" i="4"/>
  <c r="I817" i="4" s="1"/>
  <c r="F817" i="4"/>
  <c r="J815" i="4"/>
  <c r="I815" i="4" s="1"/>
  <c r="F815" i="4"/>
  <c r="J812" i="4"/>
  <c r="I812" i="4" s="1"/>
  <c r="F812" i="4"/>
  <c r="J810" i="4"/>
  <c r="I810" i="4" s="1"/>
  <c r="F810" i="4"/>
  <c r="J808" i="4"/>
  <c r="I808" i="4"/>
  <c r="F808" i="4"/>
  <c r="J806" i="4"/>
  <c r="I806" i="4" s="1"/>
  <c r="F806" i="4"/>
  <c r="J801" i="4"/>
  <c r="I801" i="4" s="1"/>
  <c r="F801" i="4"/>
  <c r="J797" i="4"/>
  <c r="I797" i="4" s="1"/>
  <c r="F797" i="4"/>
  <c r="J793" i="4"/>
  <c r="I793" i="4"/>
  <c r="F793" i="4"/>
  <c r="J789" i="4"/>
  <c r="I789" i="4" s="1"/>
  <c r="F789" i="4"/>
  <c r="J787" i="4"/>
  <c r="I787" i="4" s="1"/>
  <c r="F787" i="4"/>
  <c r="J785" i="4"/>
  <c r="I785" i="4" s="1"/>
  <c r="F785" i="4"/>
  <c r="J777" i="4"/>
  <c r="I777" i="4" s="1"/>
  <c r="F777" i="4"/>
  <c r="J773" i="4"/>
  <c r="I773" i="4" s="1"/>
  <c r="F773" i="4"/>
  <c r="J771" i="4"/>
  <c r="I771" i="4" s="1"/>
  <c r="F771" i="4"/>
  <c r="J769" i="4"/>
  <c r="I769" i="4" s="1"/>
  <c r="F769" i="4"/>
  <c r="J766" i="4"/>
  <c r="I766" i="4" s="1"/>
  <c r="F766" i="4"/>
  <c r="J764" i="4"/>
  <c r="I764" i="4" s="1"/>
  <c r="F764" i="4"/>
  <c r="F762" i="4"/>
  <c r="J760" i="4"/>
  <c r="I760" i="4" s="1"/>
  <c r="F760" i="4"/>
  <c r="J758" i="4"/>
  <c r="I758" i="4" s="1"/>
  <c r="F758" i="4"/>
  <c r="J750" i="4"/>
  <c r="I750" i="4" s="1"/>
  <c r="F750" i="4"/>
  <c r="J742" i="4"/>
  <c r="I742" i="4" s="1"/>
  <c r="F742" i="4"/>
  <c r="J738" i="4"/>
  <c r="I738" i="4" s="1"/>
  <c r="F738" i="4"/>
  <c r="J736" i="4"/>
  <c r="I736" i="4"/>
  <c r="F736" i="4"/>
  <c r="J734" i="4"/>
  <c r="I734" i="4" s="1"/>
  <c r="F734" i="4"/>
  <c r="J731" i="4"/>
  <c r="I731" i="4" s="1"/>
  <c r="F731" i="4"/>
  <c r="J729" i="4"/>
  <c r="I729" i="4" s="1"/>
  <c r="F729" i="4"/>
  <c r="J727" i="4"/>
  <c r="I727" i="4" s="1"/>
  <c r="F727" i="4"/>
  <c r="J725" i="4"/>
  <c r="I725" i="4" s="1"/>
  <c r="F725" i="4"/>
  <c r="J721" i="4"/>
  <c r="I721" i="4" s="1"/>
  <c r="F721" i="4"/>
  <c r="J713" i="4"/>
  <c r="I713" i="4" s="1"/>
  <c r="F713" i="4"/>
  <c r="J709" i="4"/>
  <c r="I709" i="4" s="1"/>
  <c r="F709" i="4"/>
  <c r="J707" i="4"/>
  <c r="I707" i="4" s="1"/>
  <c r="F707" i="4"/>
  <c r="J705" i="4"/>
  <c r="I705" i="4" s="1"/>
  <c r="F705" i="4"/>
  <c r="J702" i="4"/>
  <c r="I702" i="4" s="1"/>
  <c r="F702" i="4"/>
  <c r="F700" i="4"/>
  <c r="J698" i="4"/>
  <c r="I698" i="4" s="1"/>
  <c r="F698" i="4"/>
  <c r="J696" i="4"/>
  <c r="I696" i="4" s="1"/>
  <c r="F696" i="4"/>
  <c r="J693" i="4"/>
  <c r="I693" i="4" s="1"/>
  <c r="F693" i="4"/>
  <c r="J691" i="4"/>
  <c r="I691" i="4" s="1"/>
  <c r="F691" i="4"/>
  <c r="J689" i="4"/>
  <c r="I689" i="4" s="1"/>
  <c r="F689" i="4"/>
  <c r="J687" i="4"/>
  <c r="I687" i="4" s="1"/>
  <c r="F687" i="4"/>
  <c r="J679" i="4"/>
  <c r="I679" i="4" s="1"/>
  <c r="F679" i="4"/>
  <c r="J677" i="4"/>
  <c r="I677" i="4" s="1"/>
  <c r="F677" i="4"/>
  <c r="J671" i="4"/>
  <c r="I671" i="4" s="1"/>
  <c r="F671" i="4"/>
  <c r="J666" i="4"/>
  <c r="I666" i="4" s="1"/>
  <c r="F666" i="4"/>
  <c r="J662" i="4"/>
  <c r="I662" i="4" s="1"/>
  <c r="F662" i="4"/>
  <c r="J658" i="4"/>
  <c r="I658" i="4"/>
  <c r="F658" i="4"/>
  <c r="J654" i="4"/>
  <c r="I654" i="4" s="1"/>
  <c r="F654" i="4"/>
  <c r="J650" i="4"/>
  <c r="I650" i="4" s="1"/>
  <c r="F650" i="4"/>
  <c r="J648" i="4"/>
  <c r="I648" i="4" s="1"/>
  <c r="F648" i="4"/>
  <c r="J646" i="4"/>
  <c r="I646" i="4" s="1"/>
  <c r="F646" i="4"/>
  <c r="J644" i="4"/>
  <c r="I644" i="4" s="1"/>
  <c r="F644" i="4"/>
  <c r="J636" i="4"/>
  <c r="I636" i="4" s="1"/>
  <c r="F636" i="4"/>
  <c r="J632" i="4"/>
  <c r="I632" i="4" s="1"/>
  <c r="F632" i="4"/>
  <c r="J630" i="4"/>
  <c r="I630" i="4" s="1"/>
  <c r="F630" i="4"/>
  <c r="J628" i="4"/>
  <c r="I628" i="4" s="1"/>
  <c r="F628" i="4"/>
  <c r="J625" i="4"/>
  <c r="I625" i="4" s="1"/>
  <c r="F625" i="4"/>
  <c r="J623" i="4"/>
  <c r="I623" i="4" s="1"/>
  <c r="F623" i="4"/>
  <c r="J621" i="4"/>
  <c r="I621" i="4" s="1"/>
  <c r="F621" i="4"/>
  <c r="J619" i="4"/>
  <c r="I619" i="4" s="1"/>
  <c r="F619" i="4"/>
  <c r="J617" i="4"/>
  <c r="I617" i="4" s="1"/>
  <c r="F617" i="4"/>
  <c r="J611" i="4"/>
  <c r="I611" i="4" s="1"/>
  <c r="F611" i="4"/>
  <c r="J603" i="4"/>
  <c r="I603" i="4" s="1"/>
  <c r="F603" i="4"/>
  <c r="J599" i="4"/>
  <c r="I599" i="4" s="1"/>
  <c r="F599" i="4"/>
  <c r="J597" i="4"/>
  <c r="I597" i="4" s="1"/>
  <c r="F597" i="4"/>
  <c r="J595" i="4"/>
  <c r="I595" i="4" s="1"/>
  <c r="F595" i="4"/>
  <c r="J592" i="4"/>
  <c r="I592" i="4" s="1"/>
  <c r="F592" i="4"/>
  <c r="J590" i="4"/>
  <c r="I590" i="4" s="1"/>
  <c r="F590" i="4"/>
  <c r="J588" i="4"/>
  <c r="I588" i="4" s="1"/>
  <c r="F588" i="4"/>
  <c r="J586" i="4"/>
  <c r="I586" i="4" s="1"/>
  <c r="F586" i="4"/>
  <c r="J582" i="4"/>
  <c r="I582" i="4" s="1"/>
  <c r="F582" i="4"/>
  <c r="J578" i="4"/>
  <c r="I578" i="4" s="1"/>
  <c r="F578" i="4"/>
  <c r="J576" i="4"/>
  <c r="I576" i="4" s="1"/>
  <c r="F576" i="4"/>
  <c r="J573" i="4"/>
  <c r="I573" i="4" s="1"/>
  <c r="F573" i="4"/>
  <c r="J571" i="4"/>
  <c r="I571" i="4" s="1"/>
  <c r="F571" i="4"/>
  <c r="J569" i="4"/>
  <c r="I569" i="4" s="1"/>
  <c r="F569" i="4"/>
  <c r="J567" i="4"/>
  <c r="I567" i="4" s="1"/>
  <c r="F567" i="4"/>
  <c r="J564" i="4"/>
  <c r="I564" i="4" s="1"/>
  <c r="F564" i="4"/>
  <c r="J562" i="4"/>
  <c r="I562" i="4" s="1"/>
  <c r="F562" i="4"/>
  <c r="J560" i="4"/>
  <c r="I560" i="4" s="1"/>
  <c r="F560" i="4"/>
  <c r="J558" i="4"/>
  <c r="I558" i="4" s="1"/>
  <c r="F558" i="4"/>
  <c r="J550" i="4"/>
  <c r="I550" i="4" s="1"/>
  <c r="F550" i="4"/>
  <c r="J548" i="4"/>
  <c r="I548" i="4" s="1"/>
  <c r="F548" i="4"/>
  <c r="J542" i="4"/>
  <c r="I542" i="4" s="1"/>
  <c r="F542" i="4"/>
  <c r="J537" i="4"/>
  <c r="I537" i="4" s="1"/>
  <c r="F537" i="4"/>
  <c r="J534" i="4"/>
  <c r="I534" i="4" s="1"/>
  <c r="F534" i="4"/>
  <c r="J530" i="4"/>
  <c r="I530" i="4" s="1"/>
  <c r="F530" i="4"/>
  <c r="J526" i="4"/>
  <c r="I526" i="4" s="1"/>
  <c r="F526" i="4"/>
  <c r="J522" i="4"/>
  <c r="I522" i="4" s="1"/>
  <c r="F522" i="4"/>
  <c r="J518" i="4"/>
  <c r="I518" i="4" s="1"/>
  <c r="F518" i="4"/>
  <c r="J516" i="4"/>
  <c r="I516" i="4" s="1"/>
  <c r="F516" i="4"/>
  <c r="J514" i="4"/>
  <c r="I514" i="4" s="1"/>
  <c r="F514" i="4"/>
  <c r="J512" i="4"/>
  <c r="I512" i="4" s="1"/>
  <c r="F512" i="4"/>
  <c r="J504" i="4"/>
  <c r="I504" i="4" s="1"/>
  <c r="F504" i="4"/>
  <c r="J500" i="4"/>
  <c r="I500" i="4" s="1"/>
  <c r="F500" i="4"/>
  <c r="J498" i="4"/>
  <c r="I498" i="4" s="1"/>
  <c r="F498" i="4"/>
  <c r="J496" i="4"/>
  <c r="I496" i="4" s="1"/>
  <c r="F496" i="4"/>
  <c r="J493" i="4"/>
  <c r="I493" i="4" s="1"/>
  <c r="F493" i="4"/>
  <c r="J491" i="4"/>
  <c r="I491" i="4" s="1"/>
  <c r="F491" i="4"/>
  <c r="J489" i="4"/>
  <c r="I489" i="4" s="1"/>
  <c r="F489" i="4"/>
  <c r="J487" i="4"/>
  <c r="I487" i="4" s="1"/>
  <c r="F487" i="4"/>
  <c r="J485" i="4"/>
  <c r="I485" i="4" s="1"/>
  <c r="F485" i="4"/>
  <c r="J480" i="4"/>
  <c r="I480" i="4" s="1"/>
  <c r="F480" i="4"/>
  <c r="J475" i="4"/>
  <c r="I475" i="4" s="1"/>
  <c r="F475" i="4"/>
  <c r="F467" i="4"/>
  <c r="J463" i="4"/>
  <c r="I463" i="4" s="1"/>
  <c r="F463" i="4"/>
  <c r="J461" i="4"/>
  <c r="I461" i="4" s="1"/>
  <c r="F461" i="4"/>
  <c r="J459" i="4"/>
  <c r="I459" i="4" s="1"/>
  <c r="F459" i="4"/>
  <c r="F456" i="4"/>
  <c r="F454" i="4"/>
  <c r="J452" i="4"/>
  <c r="I452" i="4"/>
  <c r="F452" i="4"/>
  <c r="J450" i="4"/>
  <c r="I450" i="4" s="1"/>
  <c r="F450" i="4"/>
  <c r="J447" i="4"/>
  <c r="I447" i="4" s="1"/>
  <c r="F447" i="4"/>
  <c r="J445" i="4"/>
  <c r="I445" i="4" s="1"/>
  <c r="F445" i="4"/>
  <c r="J443" i="4"/>
  <c r="I443" i="4" s="1"/>
  <c r="F443" i="4"/>
  <c r="J438" i="4"/>
  <c r="I438" i="4" s="1"/>
  <c r="F438" i="4"/>
  <c r="J434" i="4"/>
  <c r="I434" i="4" s="1"/>
  <c r="F434" i="4"/>
  <c r="J428" i="4"/>
  <c r="I428" i="4" s="1"/>
  <c r="F428" i="4"/>
  <c r="J424" i="4"/>
  <c r="I424" i="4" s="1"/>
  <c r="F424" i="4"/>
  <c r="J420" i="4"/>
  <c r="I420" i="4" s="1"/>
  <c r="F420" i="4"/>
  <c r="J418" i="4"/>
  <c r="I418" i="4" s="1"/>
  <c r="F418" i="4"/>
  <c r="J416" i="4"/>
  <c r="I416" i="4" s="1"/>
  <c r="F416" i="4"/>
  <c r="J408" i="4"/>
  <c r="I408" i="4" s="1"/>
  <c r="F408" i="4"/>
  <c r="J404" i="4"/>
  <c r="I404" i="4" s="1"/>
  <c r="F404" i="4"/>
  <c r="J402" i="4"/>
  <c r="I402" i="4" s="1"/>
  <c r="F402" i="4"/>
  <c r="J400" i="4"/>
  <c r="I400" i="4" s="1"/>
  <c r="F400" i="4"/>
  <c r="J397" i="4"/>
  <c r="I397" i="4" s="1"/>
  <c r="F397" i="4"/>
  <c r="J395" i="4"/>
  <c r="I395" i="4" s="1"/>
  <c r="F395" i="4"/>
  <c r="J393" i="4"/>
  <c r="I393" i="4" s="1"/>
  <c r="F393" i="4"/>
  <c r="J391" i="4"/>
  <c r="I391" i="4" s="1"/>
  <c r="F391" i="4"/>
  <c r="J389" i="4"/>
  <c r="I389" i="4" s="1"/>
  <c r="F389" i="4"/>
  <c r="J383" i="4"/>
  <c r="I383" i="4" s="1"/>
  <c r="F383" i="4"/>
  <c r="J375" i="4"/>
  <c r="I375" i="4" s="1"/>
  <c r="F375" i="4"/>
  <c r="J371" i="4"/>
  <c r="I371" i="4" s="1"/>
  <c r="F371" i="4"/>
  <c r="J369" i="4"/>
  <c r="I369" i="4" s="1"/>
  <c r="F369" i="4"/>
  <c r="J367" i="4"/>
  <c r="I367" i="4" s="1"/>
  <c r="F367" i="4"/>
  <c r="J364" i="4"/>
  <c r="I364" i="4" s="1"/>
  <c r="F364" i="4"/>
  <c r="F362" i="4"/>
  <c r="J360" i="4"/>
  <c r="I360" i="4" s="1"/>
  <c r="F360" i="4"/>
  <c r="J358" i="4"/>
  <c r="I358" i="4" s="1"/>
  <c r="F358" i="4"/>
  <c r="J354" i="4"/>
  <c r="I354" i="4" s="1"/>
  <c r="F354" i="4"/>
  <c r="J350" i="4"/>
  <c r="I350" i="4" s="1"/>
  <c r="F350" i="4"/>
  <c r="J348" i="4"/>
  <c r="I348" i="4" s="1"/>
  <c r="F348" i="4"/>
  <c r="J345" i="4"/>
  <c r="I345" i="4" s="1"/>
  <c r="F345" i="4"/>
  <c r="J343" i="4"/>
  <c r="I343" i="4" s="1"/>
  <c r="F343" i="4"/>
  <c r="J341" i="4"/>
  <c r="I341" i="4" s="1"/>
  <c r="F341" i="4"/>
  <c r="J339" i="4"/>
  <c r="I339" i="4" s="1"/>
  <c r="F339" i="4"/>
  <c r="J336" i="4"/>
  <c r="I336" i="4" s="1"/>
  <c r="F336" i="4"/>
  <c r="J334" i="4"/>
  <c r="I334" i="4" s="1"/>
  <c r="F334" i="4"/>
  <c r="J332" i="4"/>
  <c r="I332" i="4" s="1"/>
  <c r="F332" i="4"/>
  <c r="J330" i="4"/>
  <c r="I330" i="4" s="1"/>
  <c r="F330" i="4"/>
  <c r="J322" i="4"/>
  <c r="I322" i="4" s="1"/>
  <c r="F322" i="4"/>
  <c r="J320" i="4"/>
  <c r="I320" i="4" s="1"/>
  <c r="F320" i="4"/>
  <c r="J314" i="4"/>
  <c r="I314" i="4" s="1"/>
  <c r="F314" i="4"/>
  <c r="J309" i="4"/>
  <c r="I309" i="4" s="1"/>
  <c r="F309" i="4"/>
  <c r="J306" i="4"/>
  <c r="I306" i="4" s="1"/>
  <c r="F306" i="4"/>
  <c r="J302" i="4"/>
  <c r="I302" i="4" s="1"/>
  <c r="F302" i="4"/>
  <c r="J298" i="4"/>
  <c r="I298" i="4" s="1"/>
  <c r="F298" i="4"/>
  <c r="J294" i="4"/>
  <c r="I294" i="4" s="1"/>
  <c r="F294" i="4"/>
  <c r="J290" i="4"/>
  <c r="I290" i="4" s="1"/>
  <c r="F290" i="4"/>
  <c r="J288" i="4"/>
  <c r="I288" i="4" s="1"/>
  <c r="F288" i="4"/>
  <c r="J286" i="4"/>
  <c r="I286" i="4" s="1"/>
  <c r="F286" i="4"/>
  <c r="J284" i="4"/>
  <c r="I284" i="4" s="1"/>
  <c r="F284" i="4"/>
  <c r="F276" i="4"/>
  <c r="J272" i="4"/>
  <c r="I272" i="4" s="1"/>
  <c r="F272" i="4"/>
  <c r="J270" i="4"/>
  <c r="I270" i="4" s="1"/>
  <c r="F270" i="4"/>
  <c r="J268" i="4"/>
  <c r="I268" i="4" s="1"/>
  <c r="F268" i="4"/>
  <c r="J265" i="4"/>
  <c r="I265" i="4" s="1"/>
  <c r="F265" i="4"/>
  <c r="J263" i="4"/>
  <c r="I263" i="4" s="1"/>
  <c r="F263" i="4"/>
  <c r="J261" i="4"/>
  <c r="I261" i="4" s="1"/>
  <c r="F261" i="4"/>
  <c r="J259" i="4"/>
  <c r="I259" i="4" s="1"/>
  <c r="F259" i="4"/>
  <c r="J257" i="4"/>
  <c r="I257" i="4" s="1"/>
  <c r="F257" i="4"/>
  <c r="J250" i="4"/>
  <c r="I250" i="4" s="1"/>
  <c r="F250" i="4"/>
  <c r="J247" i="4"/>
  <c r="I247" i="4" s="1"/>
  <c r="F247" i="4"/>
  <c r="J241" i="4"/>
  <c r="I241" i="4" s="1"/>
  <c r="F241" i="4"/>
  <c r="F233" i="4"/>
  <c r="J229" i="4"/>
  <c r="I229" i="4" s="1"/>
  <c r="F229" i="4"/>
  <c r="J227" i="4"/>
  <c r="I227" i="4" s="1"/>
  <c r="F227" i="4"/>
  <c r="J225" i="4"/>
  <c r="I225" i="4" s="1"/>
  <c r="F225" i="4"/>
  <c r="F222" i="4"/>
  <c r="F220" i="4"/>
  <c r="J218" i="4"/>
  <c r="I218" i="4" s="1"/>
  <c r="F218" i="4"/>
  <c r="J216" i="4"/>
  <c r="I216" i="4" s="1"/>
  <c r="F216" i="4"/>
  <c r="J212" i="4"/>
  <c r="I212" i="4" s="1"/>
  <c r="F212" i="4"/>
  <c r="F204" i="4"/>
  <c r="J200" i="4"/>
  <c r="I200" i="4" s="1"/>
  <c r="F200" i="4"/>
  <c r="J198" i="4"/>
  <c r="I198" i="4"/>
  <c r="F198" i="4"/>
  <c r="J196" i="4"/>
  <c r="I196" i="4" s="1"/>
  <c r="F196" i="4"/>
  <c r="J193" i="4"/>
  <c r="I193" i="4" s="1"/>
  <c r="F193" i="4"/>
  <c r="J191" i="4"/>
  <c r="I191" i="4" s="1"/>
  <c r="F191" i="4"/>
  <c r="J189" i="4"/>
  <c r="I189" i="4"/>
  <c r="F189" i="4"/>
  <c r="J187" i="4"/>
  <c r="I187" i="4" s="1"/>
  <c r="F187" i="4"/>
  <c r="J184" i="4"/>
  <c r="I184" i="4" s="1"/>
  <c r="F184" i="4"/>
  <c r="J182" i="4"/>
  <c r="I182" i="4" s="1"/>
  <c r="F182" i="4"/>
  <c r="J180" i="4"/>
  <c r="I180" i="4"/>
  <c r="F180" i="4"/>
  <c r="J178" i="4"/>
  <c r="I178" i="4" s="1"/>
  <c r="F178" i="4"/>
  <c r="J170" i="4"/>
  <c r="I170" i="4" s="1"/>
  <c r="F170" i="4"/>
  <c r="J168" i="4"/>
  <c r="I168" i="4" s="1"/>
  <c r="F168" i="4"/>
  <c r="J162" i="4"/>
  <c r="I162" i="4" s="1"/>
  <c r="F162" i="4"/>
  <c r="J157" i="4"/>
  <c r="I157" i="4" s="1"/>
  <c r="F157" i="4"/>
  <c r="J153" i="4"/>
  <c r="I153" i="4" s="1"/>
  <c r="F153" i="4"/>
  <c r="J149" i="4"/>
  <c r="I149" i="4" s="1"/>
  <c r="F149" i="4"/>
  <c r="J145" i="4"/>
  <c r="I145" i="4" s="1"/>
  <c r="F145" i="4"/>
  <c r="J141" i="4"/>
  <c r="I141" i="4" s="1"/>
  <c r="F141" i="4"/>
  <c r="J139" i="4"/>
  <c r="I139" i="4" s="1"/>
  <c r="F139" i="4"/>
  <c r="J137" i="4"/>
  <c r="I137" i="4" s="1"/>
  <c r="F137" i="4"/>
  <c r="J135" i="4"/>
  <c r="I135" i="4" s="1"/>
  <c r="F135" i="4"/>
  <c r="J127" i="4"/>
  <c r="I127" i="4" s="1"/>
  <c r="F127" i="4"/>
  <c r="J123" i="4"/>
  <c r="I123" i="4" s="1"/>
  <c r="F123" i="4"/>
  <c r="J121" i="4"/>
  <c r="I121" i="4" s="1"/>
  <c r="F121" i="4"/>
  <c r="J119" i="4"/>
  <c r="I119" i="4" s="1"/>
  <c r="F119" i="4"/>
  <c r="J116" i="4"/>
  <c r="I116" i="4" s="1"/>
  <c r="F116" i="4"/>
  <c r="J114" i="4"/>
  <c r="I114" i="4" s="1"/>
  <c r="F114" i="4"/>
  <c r="J112" i="4"/>
  <c r="I112" i="4" s="1"/>
  <c r="F112" i="4"/>
  <c r="J110" i="4"/>
  <c r="I110" i="4" s="1"/>
  <c r="F110" i="4"/>
  <c r="J108" i="4"/>
  <c r="I108" i="4" s="1"/>
  <c r="F108" i="4"/>
  <c r="J103" i="4"/>
  <c r="I103" i="4" s="1"/>
  <c r="F103" i="4"/>
  <c r="J98" i="4"/>
  <c r="I98" i="4" s="1"/>
  <c r="F98" i="4"/>
  <c r="F90" i="4"/>
  <c r="F86" i="4"/>
  <c r="J84" i="4"/>
  <c r="I84" i="4" s="1"/>
  <c r="F84" i="4"/>
  <c r="J82" i="4"/>
  <c r="I82" i="4" s="1"/>
  <c r="F82" i="4"/>
  <c r="F79" i="4"/>
  <c r="F77" i="4"/>
  <c r="J75" i="4"/>
  <c r="I75" i="4" s="1"/>
  <c r="F75" i="4"/>
  <c r="J73" i="4"/>
  <c r="I73" i="4" s="1"/>
  <c r="F73" i="4"/>
  <c r="J70" i="4"/>
  <c r="I70" i="4" s="1"/>
  <c r="F70" i="4"/>
  <c r="J68" i="4"/>
  <c r="I68" i="4" s="1"/>
  <c r="F68" i="4"/>
  <c r="J66" i="4"/>
  <c r="I66" i="4" s="1"/>
  <c r="F66" i="4"/>
  <c r="J64" i="4"/>
  <c r="I64" i="4" s="1"/>
  <c r="F64" i="4"/>
  <c r="J59" i="4"/>
  <c r="I59" i="4" s="1"/>
  <c r="F59" i="4"/>
  <c r="J55" i="4"/>
  <c r="I55" i="4" s="1"/>
  <c r="F55" i="4"/>
  <c r="J49" i="4"/>
  <c r="I49" i="4" s="1"/>
  <c r="F49" i="4"/>
  <c r="J45" i="4"/>
  <c r="I45" i="4" s="1"/>
  <c r="F45" i="4"/>
  <c r="J41" i="4"/>
  <c r="I41" i="4" s="1"/>
  <c r="F41" i="4"/>
  <c r="J39" i="4"/>
  <c r="I39" i="4" s="1"/>
  <c r="F39" i="4"/>
  <c r="J37" i="4"/>
  <c r="I37" i="4" s="1"/>
  <c r="F37" i="4"/>
  <c r="F29" i="4"/>
  <c r="J25" i="4"/>
  <c r="I25" i="4" s="1"/>
  <c r="F25" i="4"/>
  <c r="J23" i="4"/>
  <c r="I23" i="4" s="1"/>
  <c r="F23" i="4"/>
  <c r="J21" i="4"/>
  <c r="I21" i="4" s="1"/>
  <c r="F21" i="4"/>
  <c r="J18" i="4"/>
  <c r="I18" i="4" s="1"/>
  <c r="F18" i="4"/>
  <c r="J16" i="4"/>
  <c r="I16" i="4" s="1"/>
  <c r="F16" i="4"/>
  <c r="F14" i="4"/>
  <c r="J12" i="4"/>
  <c r="I12" i="4" s="1"/>
  <c r="F12" i="4"/>
  <c r="J10" i="4"/>
  <c r="I10" i="4" s="1"/>
  <c r="F10" i="4"/>
  <c r="H193" i="3"/>
  <c r="H192" i="3"/>
  <c r="H191" i="3"/>
  <c r="H190" i="3"/>
  <c r="H194" i="3" s="1"/>
  <c r="E850" i="4"/>
  <c r="K850" i="4" s="1"/>
  <c r="I850" i="4" s="1"/>
  <c r="E848" i="4"/>
  <c r="E847" i="4"/>
  <c r="K847" i="4" s="1"/>
  <c r="I847" i="4" s="1"/>
  <c r="E846" i="4"/>
  <c r="K846" i="4" s="1"/>
  <c r="I846" i="4" s="1"/>
  <c r="E845" i="4"/>
  <c r="E844" i="4"/>
  <c r="K844" i="4" s="1"/>
  <c r="I844" i="4" s="1"/>
  <c r="E843" i="4"/>
  <c r="K843" i="4" s="1"/>
  <c r="I843" i="4" s="1"/>
  <c r="E842" i="4"/>
  <c r="K842" i="4" s="1"/>
  <c r="I842" i="4" s="1"/>
  <c r="E841" i="4"/>
  <c r="K841" i="4" s="1"/>
  <c r="I841" i="4" s="1"/>
  <c r="E840" i="4"/>
  <c r="E821" i="4"/>
  <c r="E816" i="4"/>
  <c r="K816" i="4" s="1"/>
  <c r="I816" i="4" s="1"/>
  <c r="E804" i="4"/>
  <c r="K804" i="4" s="1"/>
  <c r="I804" i="4" s="1"/>
  <c r="E803" i="4"/>
  <c r="K803" i="4" s="1"/>
  <c r="I803" i="4" s="1"/>
  <c r="E802" i="4"/>
  <c r="K802" i="4" s="1"/>
  <c r="I802" i="4" s="1"/>
  <c r="E801" i="4"/>
  <c r="E800" i="4"/>
  <c r="K800" i="4" s="1"/>
  <c r="I800" i="4" s="1"/>
  <c r="E799" i="4"/>
  <c r="K799" i="4" s="1"/>
  <c r="I799" i="4" s="1"/>
  <c r="E798" i="4"/>
  <c r="K798" i="4" s="1"/>
  <c r="I798" i="4" s="1"/>
  <c r="E797" i="4"/>
  <c r="E784" i="4"/>
  <c r="K784" i="4" s="1"/>
  <c r="I784" i="4" s="1"/>
  <c r="E783" i="4"/>
  <c r="K783" i="4" s="1"/>
  <c r="I783" i="4" s="1"/>
  <c r="E777" i="4"/>
  <c r="E765" i="4"/>
  <c r="K765" i="4" s="1"/>
  <c r="I765" i="4" s="1"/>
  <c r="E764" i="4"/>
  <c r="E759" i="4"/>
  <c r="K759" i="4" s="1"/>
  <c r="I759" i="4" s="1"/>
  <c r="M49" i="3"/>
  <c r="I48" i="3"/>
  <c r="D49" i="3"/>
  <c r="E742" i="4"/>
  <c r="E737" i="4"/>
  <c r="K737" i="4" s="1"/>
  <c r="I737" i="4" s="1"/>
  <c r="E736" i="4"/>
  <c r="E731" i="4"/>
  <c r="E729" i="4"/>
  <c r="E723" i="4"/>
  <c r="K723" i="4" s="1"/>
  <c r="I723" i="4" s="1"/>
  <c r="E721" i="4"/>
  <c r="E713" i="4"/>
  <c r="E707" i="4"/>
  <c r="E702" i="4"/>
  <c r="E676" i="4"/>
  <c r="K676" i="4" s="1"/>
  <c r="I676" i="4" s="1"/>
  <c r="E671" i="4"/>
  <c r="E670" i="4"/>
  <c r="K670" i="4" s="1"/>
  <c r="I670" i="4" s="1"/>
  <c r="E669" i="4"/>
  <c r="K669" i="4" s="1"/>
  <c r="I669" i="4" s="1"/>
  <c r="E667" i="4"/>
  <c r="K667" i="4" s="1"/>
  <c r="I667" i="4" s="1"/>
  <c r="E666" i="4"/>
  <c r="E665" i="4"/>
  <c r="K665" i="4" s="1"/>
  <c r="I665" i="4" s="1"/>
  <c r="E664" i="4"/>
  <c r="K664" i="4" s="1"/>
  <c r="I664" i="4" s="1"/>
  <c r="E663" i="4"/>
  <c r="K663" i="4" s="1"/>
  <c r="I663" i="4" s="1"/>
  <c r="E662" i="4"/>
  <c r="E627" i="4"/>
  <c r="K627" i="4" s="1"/>
  <c r="I627" i="4" s="1"/>
  <c r="E624" i="4"/>
  <c r="K624" i="4" s="1"/>
  <c r="I624" i="4" s="1"/>
  <c r="E623" i="4"/>
  <c r="E622" i="4"/>
  <c r="K622" i="4" s="1"/>
  <c r="I622" i="4" s="1"/>
  <c r="E621" i="4"/>
  <c r="E620" i="4"/>
  <c r="K620" i="4" s="1"/>
  <c r="I620" i="4" s="1"/>
  <c r="E618" i="4"/>
  <c r="K618" i="4" s="1"/>
  <c r="I618" i="4" s="1"/>
  <c r="I41" i="3"/>
  <c r="D42" i="3"/>
  <c r="E611" i="4"/>
  <c r="E603" i="4"/>
  <c r="E598" i="4"/>
  <c r="K598" i="4" s="1"/>
  <c r="I598" i="4" s="1"/>
  <c r="E594" i="4"/>
  <c r="K594" i="4" s="1"/>
  <c r="I594" i="4" s="1"/>
  <c r="E592" i="4"/>
  <c r="E591" i="4"/>
  <c r="K591" i="4" s="1"/>
  <c r="I591" i="4" s="1"/>
  <c r="E590" i="4"/>
  <c r="E584" i="4"/>
  <c r="K584" i="4" s="1"/>
  <c r="I584" i="4" s="1"/>
  <c r="E583" i="4"/>
  <c r="K583" i="4" s="1"/>
  <c r="I583" i="4" s="1"/>
  <c r="E582" i="4"/>
  <c r="E578" i="4"/>
  <c r="E573" i="4"/>
  <c r="E571" i="4"/>
  <c r="E568" i="4"/>
  <c r="K568" i="4" s="1"/>
  <c r="I568" i="4" s="1"/>
  <c r="E567" i="4"/>
  <c r="E547" i="4"/>
  <c r="K547" i="4" s="1"/>
  <c r="I547" i="4" s="1"/>
  <c r="E546" i="4"/>
  <c r="K546" i="4" s="1"/>
  <c r="I546" i="4" s="1"/>
  <c r="E545" i="4"/>
  <c r="K545" i="4" s="1"/>
  <c r="I545" i="4" s="1"/>
  <c r="E544" i="4"/>
  <c r="K544" i="4" s="1"/>
  <c r="I544" i="4" s="1"/>
  <c r="E543" i="4"/>
  <c r="K543" i="4" s="1"/>
  <c r="I543" i="4" s="1"/>
  <c r="E542" i="4"/>
  <c r="E536" i="4"/>
  <c r="K536" i="4" s="1"/>
  <c r="I536" i="4" s="1"/>
  <c r="E534" i="4"/>
  <c r="E533" i="4"/>
  <c r="K533" i="4" s="1"/>
  <c r="I533" i="4" s="1"/>
  <c r="E535" i="4"/>
  <c r="K535" i="4" s="1"/>
  <c r="I535" i="4" s="1"/>
  <c r="E532" i="4"/>
  <c r="K532" i="4" s="1"/>
  <c r="I532" i="4" s="1"/>
  <c r="E531" i="4"/>
  <c r="K531" i="4" s="1"/>
  <c r="I531" i="4" s="1"/>
  <c r="E530" i="4"/>
  <c r="E510" i="4"/>
  <c r="K510" i="4" s="1"/>
  <c r="I510" i="4" s="1"/>
  <c r="E504" i="4"/>
  <c r="E499" i="4"/>
  <c r="K499" i="4" s="1"/>
  <c r="I499" i="4" s="1"/>
  <c r="E494" i="4"/>
  <c r="K494" i="4" s="1"/>
  <c r="I494" i="4" s="1"/>
  <c r="E492" i="4"/>
  <c r="K492" i="4" s="1"/>
  <c r="I492" i="4" s="1"/>
  <c r="E491" i="4"/>
  <c r="E490" i="4"/>
  <c r="K490" i="4" s="1"/>
  <c r="I490" i="4" s="1"/>
  <c r="E489" i="4"/>
  <c r="E488" i="4"/>
  <c r="K488" i="4" s="1"/>
  <c r="I488" i="4" s="1"/>
  <c r="AC33" i="3"/>
  <c r="P135" i="3"/>
  <c r="I34" i="3"/>
  <c r="J131" i="3"/>
  <c r="D21" i="3"/>
  <c r="D35" i="3"/>
  <c r="E482" i="4"/>
  <c r="K482" i="4" s="1"/>
  <c r="I482" i="4" s="1"/>
  <c r="E481" i="4"/>
  <c r="K481" i="4" s="1"/>
  <c r="I481" i="4" s="1"/>
  <c r="E479" i="4"/>
  <c r="K479" i="4" s="1"/>
  <c r="I479" i="4" s="1"/>
  <c r="E478" i="4"/>
  <c r="K478" i="4" s="1"/>
  <c r="I478" i="4" s="1"/>
  <c r="E477" i="4"/>
  <c r="K477" i="4" s="1"/>
  <c r="I477" i="4" s="1"/>
  <c r="E476" i="4"/>
  <c r="K476" i="4" s="1"/>
  <c r="I476" i="4" s="1"/>
  <c r="E480" i="4"/>
  <c r="E475" i="4"/>
  <c r="E462" i="4"/>
  <c r="K462" i="4" s="1"/>
  <c r="I462" i="4" s="1"/>
  <c r="E461" i="4"/>
  <c r="E450" i="4"/>
  <c r="E460" i="4"/>
  <c r="K460" i="4" s="1"/>
  <c r="I460" i="4" s="1"/>
  <c r="E441" i="4"/>
  <c r="K441" i="4" s="1"/>
  <c r="I441" i="4" s="1"/>
  <c r="E440" i="4"/>
  <c r="K440" i="4" s="1"/>
  <c r="I440" i="4" s="1"/>
  <c r="E439" i="4"/>
  <c r="K439" i="4" s="1"/>
  <c r="I439" i="4" s="1"/>
  <c r="E438" i="4"/>
  <c r="E437" i="4"/>
  <c r="K437" i="4" s="1"/>
  <c r="I437" i="4" s="1"/>
  <c r="E436" i="4"/>
  <c r="K436" i="4" s="1"/>
  <c r="I436" i="4" s="1"/>
  <c r="E435" i="4"/>
  <c r="K435" i="4" s="1"/>
  <c r="I435" i="4" s="1"/>
  <c r="E434" i="4"/>
  <c r="E432" i="4"/>
  <c r="E431" i="4"/>
  <c r="K431" i="4" s="1"/>
  <c r="I431" i="4" s="1"/>
  <c r="E430" i="4"/>
  <c r="K430" i="4" s="1"/>
  <c r="I430" i="4" s="1"/>
  <c r="E429" i="4"/>
  <c r="K429" i="4" s="1"/>
  <c r="I429" i="4" s="1"/>
  <c r="E428" i="4"/>
  <c r="E398" i="4"/>
  <c r="K398" i="4" s="1"/>
  <c r="I398" i="4" s="1"/>
  <c r="E396" i="4"/>
  <c r="K396" i="4" s="1"/>
  <c r="I396" i="4" s="1"/>
  <c r="E395" i="4"/>
  <c r="E393" i="4"/>
  <c r="E392" i="4"/>
  <c r="K392" i="4" s="1"/>
  <c r="I392" i="4" s="1"/>
  <c r="E390" i="4"/>
  <c r="K390" i="4" s="1"/>
  <c r="I390" i="4" s="1"/>
  <c r="P117" i="3"/>
  <c r="E386" i="4"/>
  <c r="K386" i="4" s="1"/>
  <c r="I386" i="4" s="1"/>
  <c r="E383" i="4"/>
  <c r="E375" i="4"/>
  <c r="E364" i="4"/>
  <c r="E361" i="4"/>
  <c r="K361" i="4" s="1"/>
  <c r="I361" i="4" s="1"/>
  <c r="E360" i="4"/>
  <c r="E359" i="4"/>
  <c r="K359" i="4" s="1"/>
  <c r="I359" i="4" s="1"/>
  <c r="E356" i="4"/>
  <c r="K356" i="4" s="1"/>
  <c r="I356" i="4" s="1"/>
  <c r="E354" i="4"/>
  <c r="E350" i="4"/>
  <c r="E345" i="4"/>
  <c r="E343" i="4"/>
  <c r="E342" i="4"/>
  <c r="K342" i="4" s="1"/>
  <c r="I342" i="4" s="1"/>
  <c r="E340" i="4"/>
  <c r="K340" i="4" s="1"/>
  <c r="I340" i="4" s="1"/>
  <c r="E319" i="4"/>
  <c r="K319" i="4" s="1"/>
  <c r="I319" i="4" s="1"/>
  <c r="E318" i="4"/>
  <c r="K318" i="4" s="1"/>
  <c r="I318" i="4" s="1"/>
  <c r="E317" i="4"/>
  <c r="K317" i="4" s="1"/>
  <c r="I317" i="4" s="1"/>
  <c r="E316" i="4"/>
  <c r="K316" i="4" s="1"/>
  <c r="I316" i="4" s="1"/>
  <c r="E315" i="4"/>
  <c r="K315" i="4" s="1"/>
  <c r="I315" i="4" s="1"/>
  <c r="E303" i="4"/>
  <c r="K303" i="4" s="1"/>
  <c r="I303" i="4" s="1"/>
  <c r="E304" i="4"/>
  <c r="K304" i="4" s="1"/>
  <c r="I304" i="4" s="1"/>
  <c r="E305" i="4"/>
  <c r="K305" i="4" s="1"/>
  <c r="I305" i="4" s="1"/>
  <c r="E302" i="4"/>
  <c r="E264" i="4"/>
  <c r="K264" i="4" s="1"/>
  <c r="I264" i="4" s="1"/>
  <c r="E263" i="4"/>
  <c r="E262" i="4"/>
  <c r="K262" i="4" s="1"/>
  <c r="I262" i="4" s="1"/>
  <c r="E261" i="4"/>
  <c r="E259" i="4"/>
  <c r="E258" i="4"/>
  <c r="K258" i="4" s="1"/>
  <c r="I258" i="4" s="1"/>
  <c r="AC19" i="3"/>
  <c r="P96" i="3"/>
  <c r="E314" i="4"/>
  <c r="I20" i="3"/>
  <c r="F112" i="3"/>
  <c r="C112" i="3"/>
  <c r="E254" i="4"/>
  <c r="K254" i="4" s="1"/>
  <c r="I254" i="4" s="1"/>
  <c r="E253" i="4"/>
  <c r="K253" i="4" s="1"/>
  <c r="I253" i="4" s="1"/>
  <c r="E252" i="4"/>
  <c r="K252" i="4" s="1"/>
  <c r="I252" i="4" s="1"/>
  <c r="E250" i="4"/>
  <c r="E247" i="4"/>
  <c r="X14" i="3"/>
  <c r="E214" i="4"/>
  <c r="K214" i="4" s="1"/>
  <c r="I214" i="4" s="1"/>
  <c r="E213" i="4"/>
  <c r="K213" i="4" s="1"/>
  <c r="I213" i="4" s="1"/>
  <c r="E212" i="4"/>
  <c r="E195" i="4"/>
  <c r="K195" i="4" s="1"/>
  <c r="I195" i="4" s="1"/>
  <c r="E194" i="4"/>
  <c r="K194" i="4" s="1"/>
  <c r="I194" i="4" s="1"/>
  <c r="E193" i="4"/>
  <c r="E191" i="4"/>
  <c r="E167" i="4" l="1"/>
  <c r="K167" i="4" s="1"/>
  <c r="I167" i="4" s="1"/>
  <c r="E166" i="4"/>
  <c r="K166" i="4" s="1"/>
  <c r="I166" i="4" s="1"/>
  <c r="E165" i="4"/>
  <c r="K165" i="4" s="1"/>
  <c r="I165" i="4" s="1"/>
  <c r="E164" i="4"/>
  <c r="K164" i="4" s="1"/>
  <c r="I164" i="4" s="1"/>
  <c r="E163" i="4"/>
  <c r="K163" i="4" s="1"/>
  <c r="I163" i="4" s="1"/>
  <c r="E156" i="4"/>
  <c r="K156" i="4" s="1"/>
  <c r="I156" i="4" s="1"/>
  <c r="E155" i="4"/>
  <c r="K155" i="4" s="1"/>
  <c r="I155" i="4" s="1"/>
  <c r="E154" i="4"/>
  <c r="K154" i="4" s="1"/>
  <c r="I154" i="4" s="1"/>
  <c r="E153" i="4"/>
  <c r="E131" i="4"/>
  <c r="K131" i="4" s="1"/>
  <c r="I131" i="4" s="1"/>
  <c r="E129" i="4"/>
  <c r="K129" i="4" s="1"/>
  <c r="I129" i="4" s="1"/>
  <c r="E128" i="4"/>
  <c r="K128" i="4" s="1"/>
  <c r="I128" i="4" s="1"/>
  <c r="E126" i="4"/>
  <c r="K126" i="4" s="1"/>
  <c r="I126" i="4" s="1"/>
  <c r="E125" i="4"/>
  <c r="K125" i="4" s="1"/>
  <c r="I125" i="4" s="1"/>
  <c r="E124" i="4"/>
  <c r="K124" i="4" s="1"/>
  <c r="I124" i="4" s="1"/>
  <c r="E123" i="4"/>
  <c r="E122" i="4"/>
  <c r="K122" i="4" s="1"/>
  <c r="I122" i="4" s="1"/>
  <c r="E118" i="4"/>
  <c r="K118" i="4" s="1"/>
  <c r="I118" i="4" s="1"/>
  <c r="E117" i="4"/>
  <c r="K117" i="4" s="1"/>
  <c r="I117" i="4" s="1"/>
  <c r="E116" i="4"/>
  <c r="E115" i="4"/>
  <c r="K115" i="4" s="1"/>
  <c r="I115" i="4" s="1"/>
  <c r="E114" i="4"/>
  <c r="E113" i="4"/>
  <c r="K113" i="4" s="1"/>
  <c r="I113" i="4" s="1"/>
  <c r="E112" i="4"/>
  <c r="E111" i="4"/>
  <c r="K111" i="4" s="1"/>
  <c r="I111" i="4" s="1"/>
  <c r="E110" i="4"/>
  <c r="E109" i="4"/>
  <c r="K109" i="4" s="1"/>
  <c r="I109" i="4" s="1"/>
  <c r="E108" i="4"/>
  <c r="P78" i="3"/>
  <c r="I13" i="3"/>
  <c r="C87" i="3"/>
  <c r="F87" i="3"/>
  <c r="F86" i="3"/>
  <c r="C86" i="3"/>
  <c r="F85" i="3"/>
  <c r="C85" i="3"/>
  <c r="F84" i="3"/>
  <c r="C84" i="3"/>
  <c r="F83" i="3"/>
  <c r="C83" i="3"/>
  <c r="F82" i="3"/>
  <c r="C82" i="3"/>
  <c r="F81" i="3"/>
  <c r="C81" i="3"/>
  <c r="F80" i="3"/>
  <c r="C80" i="3"/>
  <c r="F79" i="3"/>
  <c r="C79" i="3"/>
  <c r="F78" i="3"/>
  <c r="C78" i="3"/>
  <c r="F77" i="3"/>
  <c r="C77" i="3"/>
  <c r="F76" i="3"/>
  <c r="F75" i="3"/>
  <c r="C76" i="3"/>
  <c r="C75" i="3"/>
  <c r="D14" i="3"/>
  <c r="E105" i="4"/>
  <c r="K105" i="4" s="1"/>
  <c r="I105" i="4" s="1"/>
  <c r="E104" i="4"/>
  <c r="K104" i="4" s="1"/>
  <c r="I104" i="4" s="1"/>
  <c r="E103" i="4"/>
  <c r="E98" i="4"/>
  <c r="E84" i="4"/>
  <c r="E80" i="4"/>
  <c r="K80" i="4" s="1"/>
  <c r="I80" i="4" s="1"/>
  <c r="E76" i="4"/>
  <c r="K76" i="4" s="1"/>
  <c r="I76" i="4" s="1"/>
  <c r="E74" i="4"/>
  <c r="K74" i="4" s="1"/>
  <c r="I74" i="4" s="1"/>
  <c r="E62" i="4"/>
  <c r="K62" i="4" s="1"/>
  <c r="I62" i="4" s="1"/>
  <c r="E61" i="4"/>
  <c r="K61" i="4" s="1"/>
  <c r="I61" i="4" s="1"/>
  <c r="E60" i="4"/>
  <c r="K60" i="4" s="1"/>
  <c r="I60" i="4" s="1"/>
  <c r="E59" i="4"/>
  <c r="E58" i="4"/>
  <c r="K58" i="4" s="1"/>
  <c r="I58" i="4" s="1"/>
  <c r="E57" i="4"/>
  <c r="K57" i="4" s="1"/>
  <c r="I57" i="4" s="1"/>
  <c r="E56" i="4"/>
  <c r="K56" i="4" s="1"/>
  <c r="I56" i="4" s="1"/>
  <c r="E55" i="4"/>
  <c r="E51" i="4"/>
  <c r="K51" i="4" s="1"/>
  <c r="I51" i="4" s="1"/>
  <c r="E50" i="4"/>
  <c r="K50" i="4" s="1"/>
  <c r="I50" i="4" s="1"/>
  <c r="E49" i="4"/>
  <c r="A39" i="4"/>
  <c r="A40" i="4"/>
  <c r="E28" i="4"/>
  <c r="K28" i="4" s="1"/>
  <c r="I28" i="4" s="1"/>
  <c r="E27" i="4"/>
  <c r="K27" i="4" s="1"/>
  <c r="I27" i="4" s="1"/>
  <c r="E26" i="4"/>
  <c r="K26" i="4" s="1"/>
  <c r="I26" i="4" s="1"/>
  <c r="E24" i="4"/>
  <c r="K24" i="4" s="1"/>
  <c r="I24" i="4" s="1"/>
  <c r="E23" i="4"/>
  <c r="E21" i="4"/>
  <c r="E20" i="4"/>
  <c r="K20" i="4" s="1"/>
  <c r="I20" i="4" s="1"/>
  <c r="E18" i="4"/>
  <c r="E17" i="4"/>
  <c r="K17" i="4" s="1"/>
  <c r="I17" i="4" s="1"/>
  <c r="E16" i="4"/>
  <c r="E14" i="4"/>
  <c r="J14" i="4" s="1"/>
  <c r="I14" i="4" s="1"/>
  <c r="E13" i="4"/>
  <c r="K13" i="4" s="1"/>
  <c r="I13" i="4" s="1"/>
  <c r="D7" i="3"/>
  <c r="J65" i="3"/>
  <c r="F71" i="3"/>
  <c r="C71" i="3"/>
  <c r="E849" i="4" l="1"/>
  <c r="K849" i="4" s="1"/>
  <c r="I849" i="4" s="1"/>
  <c r="E813" i="4"/>
  <c r="K813" i="4" s="1"/>
  <c r="I813" i="4" s="1"/>
  <c r="E811" i="4"/>
  <c r="K811" i="4" s="1"/>
  <c r="I811" i="4" s="1"/>
  <c r="E809" i="4"/>
  <c r="K809" i="4" s="1"/>
  <c r="I809" i="4" s="1"/>
  <c r="E807" i="4"/>
  <c r="K807" i="4" s="1"/>
  <c r="I807" i="4" s="1"/>
  <c r="E755" i="4"/>
  <c r="K755" i="4" s="1"/>
  <c r="I755" i="4" s="1"/>
  <c r="E694" i="4"/>
  <c r="K694" i="4" s="1"/>
  <c r="I694" i="4" s="1"/>
  <c r="E692" i="4"/>
  <c r="K692" i="4" s="1"/>
  <c r="I692" i="4" s="1"/>
  <c r="E690" i="4"/>
  <c r="K690" i="4" s="1"/>
  <c r="I690" i="4" s="1"/>
  <c r="E688" i="4"/>
  <c r="K688" i="4" s="1"/>
  <c r="I688" i="4" s="1"/>
  <c r="E685" i="4"/>
  <c r="K685" i="4" s="1"/>
  <c r="I685" i="4" s="1"/>
  <c r="E684" i="4"/>
  <c r="K684" i="4" s="1"/>
  <c r="I684" i="4" s="1"/>
  <c r="E683" i="4"/>
  <c r="K683" i="4" s="1"/>
  <c r="I683" i="4" s="1"/>
  <c r="E682" i="4"/>
  <c r="K682" i="4" s="1"/>
  <c r="I682" i="4" s="1"/>
  <c r="E681" i="4"/>
  <c r="K681" i="4" s="1"/>
  <c r="I681" i="4" s="1"/>
  <c r="E680" i="4"/>
  <c r="K680" i="4" s="1"/>
  <c r="I680" i="4" s="1"/>
  <c r="E678" i="4"/>
  <c r="K678" i="4" s="1"/>
  <c r="I678" i="4" s="1"/>
  <c r="E675" i="4"/>
  <c r="K675" i="4" s="1"/>
  <c r="I675" i="4" s="1"/>
  <c r="E674" i="4"/>
  <c r="K674" i="4" s="1"/>
  <c r="I674" i="4" s="1"/>
  <c r="E673" i="4"/>
  <c r="K673" i="4" s="1"/>
  <c r="I673" i="4" s="1"/>
  <c r="E672" i="4"/>
  <c r="K672" i="4" s="1"/>
  <c r="I672" i="4" s="1"/>
  <c r="E668" i="4"/>
  <c r="K668" i="4" s="1"/>
  <c r="I668" i="4" s="1"/>
  <c r="E614" i="4"/>
  <c r="K614" i="4" s="1"/>
  <c r="I614" i="4" s="1"/>
  <c r="E586" i="4"/>
  <c r="E565" i="4"/>
  <c r="K565" i="4" s="1"/>
  <c r="I565" i="4" s="1"/>
  <c r="E563" i="4"/>
  <c r="K563" i="4" s="1"/>
  <c r="I563" i="4" s="1"/>
  <c r="E561" i="4"/>
  <c r="K561" i="4" s="1"/>
  <c r="I561" i="4" s="1"/>
  <c r="E559" i="4"/>
  <c r="K559" i="4" s="1"/>
  <c r="I559" i="4" s="1"/>
  <c r="E556" i="4"/>
  <c r="K556" i="4" s="1"/>
  <c r="I556" i="4" s="1"/>
  <c r="E555" i="4"/>
  <c r="K555" i="4" s="1"/>
  <c r="I555" i="4" s="1"/>
  <c r="E554" i="4"/>
  <c r="K554" i="4" s="1"/>
  <c r="I554" i="4" s="1"/>
  <c r="E553" i="4"/>
  <c r="K553" i="4" s="1"/>
  <c r="I553" i="4" s="1"/>
  <c r="E552" i="4"/>
  <c r="K552" i="4" s="1"/>
  <c r="I552" i="4" s="1"/>
  <c r="E551" i="4"/>
  <c r="K551" i="4" s="1"/>
  <c r="I551" i="4" s="1"/>
  <c r="E549" i="4"/>
  <c r="K549" i="4" s="1"/>
  <c r="I549" i="4" s="1"/>
  <c r="E539" i="4"/>
  <c r="K539" i="4" s="1"/>
  <c r="I539" i="4" s="1"/>
  <c r="E538" i="4"/>
  <c r="K538" i="4" s="1"/>
  <c r="I538" i="4" s="1"/>
  <c r="E541" i="4"/>
  <c r="K541" i="4" s="1"/>
  <c r="I541" i="4" s="1"/>
  <c r="E537" i="4"/>
  <c r="E540" i="4" s="1"/>
  <c r="K540" i="4" s="1"/>
  <c r="I540" i="4" s="1"/>
  <c r="E722" i="4" l="1"/>
  <c r="K722" i="4" s="1"/>
  <c r="I722" i="4" s="1"/>
  <c r="E613" i="4"/>
  <c r="K613" i="4" s="1"/>
  <c r="I613" i="4" s="1"/>
  <c r="E612" i="4"/>
  <c r="K612" i="4" s="1"/>
  <c r="I612" i="4" s="1"/>
  <c r="E448" i="4" l="1"/>
  <c r="K448" i="4" s="1"/>
  <c r="I448" i="4" s="1"/>
  <c r="E446" i="4"/>
  <c r="K446" i="4" s="1"/>
  <c r="I446" i="4" s="1"/>
  <c r="E444" i="4"/>
  <c r="K444" i="4" s="1"/>
  <c r="I444" i="4" s="1"/>
  <c r="E433" i="4"/>
  <c r="K433" i="4" s="1"/>
  <c r="I433" i="4" s="1"/>
  <c r="E389" i="4"/>
  <c r="E385" i="4"/>
  <c r="K385" i="4" s="1"/>
  <c r="I385" i="4" s="1"/>
  <c r="E384" i="4"/>
  <c r="K384" i="4" s="1"/>
  <c r="I384" i="4" s="1"/>
  <c r="E358" i="4"/>
  <c r="E355" i="4"/>
  <c r="K355" i="4" s="1"/>
  <c r="I355" i="4" s="1"/>
  <c r="E337" i="4"/>
  <c r="K337" i="4" s="1"/>
  <c r="I337" i="4" s="1"/>
  <c r="E335" i="4"/>
  <c r="K335" i="4" s="1"/>
  <c r="I335" i="4" s="1"/>
  <c r="E333" i="4"/>
  <c r="K333" i="4" s="1"/>
  <c r="I333" i="4" s="1"/>
  <c r="E331" i="4"/>
  <c r="K331" i="4" s="1"/>
  <c r="I331" i="4" s="1"/>
  <c r="E328" i="4"/>
  <c r="K328" i="4" s="1"/>
  <c r="I328" i="4" s="1"/>
  <c r="E327" i="4"/>
  <c r="K327" i="4" s="1"/>
  <c r="I327" i="4" s="1"/>
  <c r="E326" i="4"/>
  <c r="K326" i="4" s="1"/>
  <c r="I326" i="4" s="1"/>
  <c r="E325" i="4"/>
  <c r="K325" i="4" s="1"/>
  <c r="I325" i="4" s="1"/>
  <c r="E324" i="4"/>
  <c r="K324" i="4" s="1"/>
  <c r="I324" i="4" s="1"/>
  <c r="E323" i="4"/>
  <c r="K323" i="4" s="1"/>
  <c r="I323" i="4" s="1"/>
  <c r="E321" i="4"/>
  <c r="K321" i="4" s="1"/>
  <c r="I321" i="4" s="1"/>
  <c r="E313" i="4"/>
  <c r="K313" i="4" s="1"/>
  <c r="I313" i="4" s="1"/>
  <c r="E311" i="4"/>
  <c r="K311" i="4" s="1"/>
  <c r="I311" i="4" s="1"/>
  <c r="E310" i="4"/>
  <c r="K310" i="4" s="1"/>
  <c r="I310" i="4" s="1"/>
  <c r="E309" i="4"/>
  <c r="E312" i="4" s="1"/>
  <c r="K312" i="4" s="1"/>
  <c r="I312" i="4" s="1"/>
  <c r="E251" i="4"/>
  <c r="K251" i="4" s="1"/>
  <c r="I251" i="4" s="1"/>
  <c r="E249" i="4"/>
  <c r="K249" i="4" s="1"/>
  <c r="I249" i="4" s="1"/>
  <c r="E246" i="4"/>
  <c r="K246" i="4" s="1"/>
  <c r="I246" i="4" s="1"/>
  <c r="E243" i="4"/>
  <c r="K243" i="4" s="1"/>
  <c r="I243" i="4" s="1"/>
  <c r="E185" i="4"/>
  <c r="K185" i="4" s="1"/>
  <c r="I185" i="4" s="1"/>
  <c r="E183" i="4"/>
  <c r="K183" i="4" s="1"/>
  <c r="I183" i="4" s="1"/>
  <c r="E181" i="4"/>
  <c r="K181" i="4" s="1"/>
  <c r="I181" i="4" s="1"/>
  <c r="E179" i="4"/>
  <c r="K179" i="4" s="1"/>
  <c r="I179" i="4" s="1"/>
  <c r="E176" i="4"/>
  <c r="K176" i="4" s="1"/>
  <c r="I176" i="4" s="1"/>
  <c r="E175" i="4"/>
  <c r="K175" i="4" s="1"/>
  <c r="I175" i="4" s="1"/>
  <c r="E172" i="4"/>
  <c r="K172" i="4" s="1"/>
  <c r="I172" i="4" s="1"/>
  <c r="E171" i="4"/>
  <c r="K171" i="4" s="1"/>
  <c r="I171" i="4" s="1"/>
  <c r="E169" i="4"/>
  <c r="K169" i="4" s="1"/>
  <c r="I169" i="4" s="1"/>
  <c r="E161" i="4"/>
  <c r="K161" i="4" s="1"/>
  <c r="I161" i="4" s="1"/>
  <c r="E159" i="4"/>
  <c r="K159" i="4" s="1"/>
  <c r="I159" i="4" s="1"/>
  <c r="E158" i="4"/>
  <c r="K158" i="4" s="1"/>
  <c r="I158" i="4" s="1"/>
  <c r="E157" i="4"/>
  <c r="E160" i="4" s="1"/>
  <c r="K160" i="4" s="1"/>
  <c r="I160" i="4" s="1"/>
  <c r="E71" i="4"/>
  <c r="K71" i="4" s="1"/>
  <c r="I71" i="4" s="1"/>
  <c r="E69" i="4"/>
  <c r="K69" i="4" s="1"/>
  <c r="I69" i="4" s="1"/>
  <c r="E67" i="4"/>
  <c r="K67" i="4" s="1"/>
  <c r="I67" i="4" s="1"/>
  <c r="E65" i="4"/>
  <c r="K65" i="4" s="1"/>
  <c r="I65" i="4" s="1"/>
  <c r="A53" i="4"/>
  <c r="A54" i="4"/>
  <c r="A55" i="4"/>
  <c r="A56" i="4"/>
  <c r="A57" i="4"/>
  <c r="A58" i="4"/>
  <c r="A59" i="4"/>
  <c r="A60" i="4"/>
  <c r="A61" i="4"/>
  <c r="A62" i="4"/>
  <c r="E54" i="4"/>
  <c r="K54" i="4" s="1"/>
  <c r="I54" i="4" s="1"/>
  <c r="E248" i="4" l="1"/>
  <c r="K248" i="4" s="1"/>
  <c r="I248" i="4" s="1"/>
  <c r="E174" i="4" l="1"/>
  <c r="K174" i="4" s="1"/>
  <c r="I174" i="4" s="1"/>
  <c r="E173" i="4"/>
  <c r="K173" i="4" s="1"/>
  <c r="I173" i="4" s="1"/>
  <c r="P172" i="3"/>
  <c r="F184" i="3"/>
  <c r="C184" i="3"/>
  <c r="F182" i="3"/>
  <c r="C182" i="3"/>
  <c r="F180" i="3"/>
  <c r="C180" i="3"/>
  <c r="F177" i="3"/>
  <c r="C177" i="3"/>
  <c r="F176" i="3"/>
  <c r="C176" i="3"/>
  <c r="F175" i="3"/>
  <c r="C175" i="3"/>
  <c r="F174" i="3"/>
  <c r="C174" i="3"/>
  <c r="F173" i="3"/>
  <c r="C173" i="3"/>
  <c r="F172" i="3"/>
  <c r="C172" i="3"/>
  <c r="E752" i="4"/>
  <c r="K752" i="4" s="1"/>
  <c r="I752" i="4" s="1"/>
  <c r="E750" i="4"/>
  <c r="E754" i="4" l="1"/>
  <c r="K754" i="4" s="1"/>
  <c r="I754" i="4" s="1"/>
  <c r="E751" i="4"/>
  <c r="K751" i="4" s="1"/>
  <c r="I751" i="4" s="1"/>
  <c r="P131" i="3"/>
  <c r="F120" i="3"/>
  <c r="C120" i="3"/>
  <c r="E100" i="4" l="1"/>
  <c r="K100" i="4" s="1"/>
  <c r="I100" i="4" s="1"/>
  <c r="E102" i="4"/>
  <c r="K102" i="4" s="1"/>
  <c r="I102" i="4" s="1"/>
  <c r="E101" i="4"/>
  <c r="K101" i="4" s="1"/>
  <c r="I101" i="4" s="1"/>
  <c r="E99" i="4"/>
  <c r="K99" i="4" s="1"/>
  <c r="I99" i="4" s="1"/>
  <c r="N64" i="3"/>
  <c r="P92" i="3" l="1"/>
  <c r="F110" i="3"/>
  <c r="C110" i="3"/>
  <c r="F109" i="3"/>
  <c r="C109" i="3"/>
  <c r="F108" i="3"/>
  <c r="C108" i="3"/>
  <c r="F102" i="3"/>
  <c r="C102" i="3"/>
  <c r="F101" i="3"/>
  <c r="C101" i="3"/>
  <c r="F100" i="3"/>
  <c r="C100" i="3"/>
  <c r="F98" i="3"/>
  <c r="C98" i="3"/>
  <c r="F97" i="3" l="1"/>
  <c r="C97" i="3"/>
  <c r="S5" i="3"/>
  <c r="O7" i="3"/>
  <c r="E82" i="4" s="1"/>
  <c r="S4" i="3"/>
  <c r="O4" i="3"/>
  <c r="E73" i="4" s="1"/>
  <c r="S6" i="3" l="1"/>
  <c r="S7" i="3" s="1"/>
  <c r="T7" i="3" s="1"/>
  <c r="E75" i="4"/>
  <c r="F70" i="3"/>
  <c r="C70" i="3"/>
  <c r="F69" i="3"/>
  <c r="C69" i="3"/>
  <c r="F68" i="3"/>
  <c r="C68" i="3"/>
  <c r="F67" i="3"/>
  <c r="C67" i="3"/>
  <c r="F66" i="3"/>
  <c r="C66" i="3"/>
  <c r="F64" i="3"/>
  <c r="C64" i="3"/>
  <c r="F63" i="3"/>
  <c r="C63" i="3"/>
  <c r="F62" i="3"/>
  <c r="C62" i="3"/>
  <c r="F61" i="3"/>
  <c r="C61" i="3"/>
  <c r="C60" i="3"/>
  <c r="F59" i="3"/>
  <c r="C59" i="3"/>
  <c r="E753" i="4"/>
  <c r="K753" i="4" s="1"/>
  <c r="I753" i="4" s="1"/>
  <c r="AC40" i="3"/>
  <c r="P155" i="3"/>
  <c r="S33" i="3"/>
  <c r="P134" i="3"/>
  <c r="S26" i="3"/>
  <c r="F117" i="3"/>
  <c r="S19" i="3" l="1"/>
  <c r="E21" i="3" l="1"/>
  <c r="E257" i="4" s="1"/>
  <c r="E244" i="4"/>
  <c r="K244" i="4" s="1"/>
  <c r="I244" i="4" s="1"/>
  <c r="E241" i="4"/>
  <c r="E242" i="4" s="1"/>
  <c r="K242" i="4" s="1"/>
  <c r="I242" i="4" s="1"/>
  <c r="AC12" i="3"/>
  <c r="V75" i="3"/>
  <c r="P75" i="3" l="1"/>
  <c r="E53" i="4" l="1"/>
  <c r="K53" i="4" s="1"/>
  <c r="I53" i="4" s="1"/>
  <c r="E796" i="4"/>
  <c r="K796" i="4" s="1"/>
  <c r="I796" i="4" s="1"/>
  <c r="E795" i="4"/>
  <c r="K795" i="4" s="1"/>
  <c r="I795" i="4" s="1"/>
  <c r="E794" i="4"/>
  <c r="K794" i="4" s="1"/>
  <c r="I794" i="4" s="1"/>
  <c r="E792" i="4"/>
  <c r="K792" i="4" s="1"/>
  <c r="I792" i="4" s="1"/>
  <c r="E791" i="4"/>
  <c r="K791" i="4" s="1"/>
  <c r="I791" i="4" s="1"/>
  <c r="E790" i="4"/>
  <c r="K790" i="4" s="1"/>
  <c r="I790" i="4" s="1"/>
  <c r="E788" i="4"/>
  <c r="K788" i="4" s="1"/>
  <c r="I788" i="4" s="1"/>
  <c r="E786" i="4"/>
  <c r="K786" i="4" s="1"/>
  <c r="I786" i="4" s="1"/>
  <c r="F183" i="3"/>
  <c r="C183" i="3"/>
  <c r="F181" i="3"/>
  <c r="C181" i="3"/>
  <c r="F179" i="3"/>
  <c r="C179" i="3"/>
  <c r="F178" i="3"/>
  <c r="C178" i="3"/>
  <c r="O49" i="3" l="1"/>
  <c r="E49" i="3"/>
  <c r="E769" i="4" s="1"/>
  <c r="I47" i="3"/>
  <c r="S46" i="3"/>
  <c r="O46" i="3"/>
  <c r="E815" i="4" s="1"/>
  <c r="I46" i="3"/>
  <c r="E46" i="3"/>
  <c r="E758" i="4" l="1"/>
  <c r="E780" i="4"/>
  <c r="K780" i="4" s="1"/>
  <c r="I780" i="4" s="1"/>
  <c r="E779" i="4"/>
  <c r="K779" i="4" s="1"/>
  <c r="I779" i="4" s="1"/>
  <c r="E778" i="4"/>
  <c r="K778" i="4" s="1"/>
  <c r="I778" i="4" s="1"/>
  <c r="E782" i="4"/>
  <c r="K782" i="4" s="1"/>
  <c r="I782" i="4" s="1"/>
  <c r="E771" i="4"/>
  <c r="E772" i="4" s="1"/>
  <c r="K772" i="4" s="1"/>
  <c r="I772" i="4" s="1"/>
  <c r="E766" i="4"/>
  <c r="E768" i="4" s="1"/>
  <c r="K768" i="4" s="1"/>
  <c r="I768" i="4" s="1"/>
  <c r="E773" i="4"/>
  <c r="E760" i="4"/>
  <c r="S48" i="3"/>
  <c r="S49" i="3" s="1"/>
  <c r="T49" i="3" s="1"/>
  <c r="E822" i="4" s="1"/>
  <c r="K822" i="4" s="1"/>
  <c r="I822" i="4" s="1"/>
  <c r="E817" i="4"/>
  <c r="E781" i="4"/>
  <c r="K781" i="4" s="1"/>
  <c r="I781" i="4" s="1"/>
  <c r="E770" i="4"/>
  <c r="K770" i="4" s="1"/>
  <c r="I770" i="4" s="1"/>
  <c r="E826" i="4"/>
  <c r="E827" i="4" s="1"/>
  <c r="K827" i="4" s="1"/>
  <c r="I827" i="4" s="1"/>
  <c r="E824" i="4"/>
  <c r="E818" i="4" l="1"/>
  <c r="K818" i="4" s="1"/>
  <c r="I818" i="4" s="1"/>
  <c r="E819" i="4"/>
  <c r="J819" i="4" s="1"/>
  <c r="I819" i="4" s="1"/>
  <c r="E761" i="4"/>
  <c r="K761" i="4" s="1"/>
  <c r="I761" i="4" s="1"/>
  <c r="E762" i="4"/>
  <c r="E774" i="4"/>
  <c r="K774" i="4" s="1"/>
  <c r="I774" i="4" s="1"/>
  <c r="E776" i="4"/>
  <c r="K776" i="4" s="1"/>
  <c r="I776" i="4" s="1"/>
  <c r="E775" i="4"/>
  <c r="K775" i="4" s="1"/>
  <c r="I775" i="4" s="1"/>
  <c r="I49" i="3"/>
  <c r="J49" i="3" s="1"/>
  <c r="E767" i="4" s="1"/>
  <c r="K767" i="4" s="1"/>
  <c r="I767" i="4" s="1"/>
  <c r="E825" i="4"/>
  <c r="K825" i="4" s="1"/>
  <c r="I825" i="4" s="1"/>
  <c r="E832" i="4"/>
  <c r="J832" i="4" s="1"/>
  <c r="I832" i="4" s="1"/>
  <c r="E763" i="4" l="1"/>
  <c r="K763" i="4" s="1"/>
  <c r="I763" i="4" s="1"/>
  <c r="J762" i="4"/>
  <c r="I762" i="4" s="1"/>
  <c r="E835" i="4"/>
  <c r="K835" i="4" s="1"/>
  <c r="I835" i="4" s="1"/>
  <c r="E834" i="4"/>
  <c r="K834" i="4" s="1"/>
  <c r="I834" i="4" s="1"/>
  <c r="E833" i="4"/>
  <c r="K833" i="4" s="1"/>
  <c r="I833" i="4" s="1"/>
  <c r="E839" i="4"/>
  <c r="K839" i="4" s="1"/>
  <c r="I839" i="4" s="1"/>
  <c r="E838" i="4"/>
  <c r="K838" i="4" s="1"/>
  <c r="I838" i="4" s="1"/>
  <c r="E837" i="4"/>
  <c r="K837" i="4" s="1"/>
  <c r="I837" i="4" s="1"/>
  <c r="E820" i="4"/>
  <c r="K820" i="4" s="1"/>
  <c r="I820" i="4" s="1"/>
  <c r="E836" i="4"/>
  <c r="K836" i="4" s="1"/>
  <c r="I836" i="4" s="1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Y42" i="3"/>
  <c r="E734" i="4" s="1"/>
  <c r="E735" i="4" s="1"/>
  <c r="K735" i="4" s="1"/>
  <c r="I735" i="4" s="1"/>
  <c r="O42" i="3"/>
  <c r="E705" i="4" s="1"/>
  <c r="E42" i="3"/>
  <c r="E617" i="4" s="1"/>
  <c r="I40" i="3"/>
  <c r="AC39" i="3"/>
  <c r="Y39" i="3"/>
  <c r="E725" i="4" s="1"/>
  <c r="S39" i="3"/>
  <c r="O39" i="3"/>
  <c r="E696" i="4" s="1"/>
  <c r="I39" i="3"/>
  <c r="E39" i="3"/>
  <c r="E661" i="4"/>
  <c r="K661" i="4" s="1"/>
  <c r="I661" i="4" s="1"/>
  <c r="E660" i="4"/>
  <c r="K660" i="4" s="1"/>
  <c r="I660" i="4" s="1"/>
  <c r="E659" i="4"/>
  <c r="K659" i="4" s="1"/>
  <c r="I659" i="4" s="1"/>
  <c r="E657" i="4"/>
  <c r="K657" i="4" s="1"/>
  <c r="I657" i="4" s="1"/>
  <c r="E656" i="4"/>
  <c r="K656" i="4" s="1"/>
  <c r="I656" i="4" s="1"/>
  <c r="E655" i="4"/>
  <c r="K655" i="4" s="1"/>
  <c r="I655" i="4" s="1"/>
  <c r="E653" i="4"/>
  <c r="K653" i="4" s="1"/>
  <c r="I653" i="4" s="1"/>
  <c r="E652" i="4"/>
  <c r="K652" i="4" s="1"/>
  <c r="I652" i="4" s="1"/>
  <c r="E651" i="4"/>
  <c r="K651" i="4" s="1"/>
  <c r="I651" i="4" s="1"/>
  <c r="E649" i="4"/>
  <c r="K649" i="4" s="1"/>
  <c r="I649" i="4" s="1"/>
  <c r="E646" i="4"/>
  <c r="E645" i="4"/>
  <c r="K645" i="4" s="1"/>
  <c r="I645" i="4" s="1"/>
  <c r="AC41" i="3" l="1"/>
  <c r="AC42" i="3" s="1"/>
  <c r="AD42" i="3" s="1"/>
  <c r="E732" i="4" s="1"/>
  <c r="K732" i="4" s="1"/>
  <c r="I732" i="4" s="1"/>
  <c r="E828" i="4"/>
  <c r="J828" i="4" s="1"/>
  <c r="I828" i="4" s="1"/>
  <c r="E823" i="4"/>
  <c r="K823" i="4" s="1"/>
  <c r="I823" i="4" s="1"/>
  <c r="F168" i="3"/>
  <c r="S41" i="3"/>
  <c r="S42" i="3" s="1"/>
  <c r="T42" i="3" s="1"/>
  <c r="E703" i="4" s="1"/>
  <c r="E709" i="4"/>
  <c r="E712" i="4" s="1"/>
  <c r="K712" i="4" s="1"/>
  <c r="I712" i="4" s="1"/>
  <c r="E697" i="4"/>
  <c r="K697" i="4" s="1"/>
  <c r="I697" i="4" s="1"/>
  <c r="E698" i="4"/>
  <c r="E636" i="4"/>
  <c r="E628" i="4"/>
  <c r="E632" i="4"/>
  <c r="E635" i="4" s="1"/>
  <c r="K635" i="4" s="1"/>
  <c r="I635" i="4" s="1"/>
  <c r="E630" i="4"/>
  <c r="E631" i="4" s="1"/>
  <c r="K631" i="4" s="1"/>
  <c r="I631" i="4" s="1"/>
  <c r="E619" i="4"/>
  <c r="E738" i="4"/>
  <c r="E741" i="4" s="1"/>
  <c r="K741" i="4" s="1"/>
  <c r="I741" i="4" s="1"/>
  <c r="E727" i="4"/>
  <c r="C168" i="3"/>
  <c r="E706" i="4"/>
  <c r="K706" i="4" s="1"/>
  <c r="I706" i="4" s="1"/>
  <c r="E647" i="4"/>
  <c r="K647" i="4" s="1"/>
  <c r="I647" i="4" s="1"/>
  <c r="E35" i="3"/>
  <c r="E496" i="4" s="1"/>
  <c r="I33" i="3"/>
  <c r="I32" i="3"/>
  <c r="E32" i="3"/>
  <c r="Y35" i="3"/>
  <c r="E595" i="4" s="1"/>
  <c r="AC32" i="3"/>
  <c r="Y32" i="3"/>
  <c r="O35" i="3"/>
  <c r="S32" i="3"/>
  <c r="O32" i="3"/>
  <c r="F149" i="3"/>
  <c r="C149" i="3"/>
  <c r="F148" i="3"/>
  <c r="C148" i="3"/>
  <c r="F147" i="3"/>
  <c r="C147" i="3"/>
  <c r="C145" i="3"/>
  <c r="F145" i="3"/>
  <c r="F144" i="3"/>
  <c r="C144" i="3"/>
  <c r="C143" i="3"/>
  <c r="F143" i="3"/>
  <c r="C142" i="3"/>
  <c r="F142" i="3"/>
  <c r="F141" i="3"/>
  <c r="C141" i="3"/>
  <c r="F140" i="3"/>
  <c r="C140" i="3"/>
  <c r="F139" i="3"/>
  <c r="C139" i="3"/>
  <c r="F138" i="3"/>
  <c r="C138" i="3"/>
  <c r="F135" i="3"/>
  <c r="C135" i="3"/>
  <c r="F134" i="3"/>
  <c r="C134" i="3"/>
  <c r="C133" i="3"/>
  <c r="F133" i="3"/>
  <c r="F132" i="3"/>
  <c r="C132" i="3"/>
  <c r="F131" i="3"/>
  <c r="C131" i="3"/>
  <c r="E529" i="4"/>
  <c r="K529" i="4" s="1"/>
  <c r="I529" i="4" s="1"/>
  <c r="E528" i="4"/>
  <c r="K528" i="4" s="1"/>
  <c r="I528" i="4" s="1"/>
  <c r="E527" i="4"/>
  <c r="K527" i="4" s="1"/>
  <c r="I527" i="4" s="1"/>
  <c r="E525" i="4"/>
  <c r="K525" i="4" s="1"/>
  <c r="I525" i="4" s="1"/>
  <c r="E524" i="4"/>
  <c r="K524" i="4" s="1"/>
  <c r="E523" i="4"/>
  <c r="K523" i="4" s="1"/>
  <c r="I523" i="4" s="1"/>
  <c r="E521" i="4"/>
  <c r="K521" i="4" s="1"/>
  <c r="I521" i="4" s="1"/>
  <c r="E520" i="4"/>
  <c r="K520" i="4" s="1"/>
  <c r="I520" i="4" s="1"/>
  <c r="E519" i="4"/>
  <c r="K519" i="4" s="1"/>
  <c r="I519" i="4" s="1"/>
  <c r="E517" i="4"/>
  <c r="K517" i="4" s="1"/>
  <c r="I517" i="4" s="1"/>
  <c r="E514" i="4"/>
  <c r="E515" i="4" s="1"/>
  <c r="K515" i="4" s="1"/>
  <c r="I515" i="4" s="1"/>
  <c r="E513" i="4"/>
  <c r="K513" i="4" s="1"/>
  <c r="I513" i="4" s="1"/>
  <c r="I524" i="4" l="1"/>
  <c r="E485" i="4"/>
  <c r="E730" i="4"/>
  <c r="K730" i="4" s="1"/>
  <c r="I730" i="4" s="1"/>
  <c r="E728" i="4"/>
  <c r="K728" i="4" s="1"/>
  <c r="I728" i="4" s="1"/>
  <c r="E748" i="4"/>
  <c r="K748" i="4" s="1"/>
  <c r="I748" i="4" s="1"/>
  <c r="E743" i="4"/>
  <c r="K743" i="4" s="1"/>
  <c r="I743" i="4" s="1"/>
  <c r="E747" i="4"/>
  <c r="K747" i="4" s="1"/>
  <c r="I747" i="4" s="1"/>
  <c r="E744" i="4"/>
  <c r="K744" i="4" s="1"/>
  <c r="I744" i="4" s="1"/>
  <c r="E749" i="4"/>
  <c r="K749" i="4" s="1"/>
  <c r="I749" i="4" s="1"/>
  <c r="E716" i="4"/>
  <c r="K716" i="4" s="1"/>
  <c r="I716" i="4" s="1"/>
  <c r="E720" i="4"/>
  <c r="K720" i="4" s="1"/>
  <c r="I720" i="4" s="1"/>
  <c r="E715" i="4"/>
  <c r="K715" i="4" s="1"/>
  <c r="I715" i="4" s="1"/>
  <c r="E719" i="4"/>
  <c r="K719" i="4" s="1"/>
  <c r="I719" i="4" s="1"/>
  <c r="E714" i="4"/>
  <c r="K714" i="4" s="1"/>
  <c r="I714" i="4" s="1"/>
  <c r="E718" i="4"/>
  <c r="K718" i="4" s="1"/>
  <c r="I718" i="4" s="1"/>
  <c r="E643" i="4"/>
  <c r="K643" i="4" s="1"/>
  <c r="I643" i="4" s="1"/>
  <c r="E642" i="4"/>
  <c r="K642" i="4" s="1"/>
  <c r="I642" i="4" s="1"/>
  <c r="E637" i="4"/>
  <c r="K637" i="4" s="1"/>
  <c r="I637" i="4" s="1"/>
  <c r="E641" i="4"/>
  <c r="K641" i="4" s="1"/>
  <c r="I641" i="4" s="1"/>
  <c r="E638" i="4"/>
  <c r="K638" i="4" s="1"/>
  <c r="I638" i="4" s="1"/>
  <c r="E486" i="4"/>
  <c r="K486" i="4" s="1"/>
  <c r="I486" i="4" s="1"/>
  <c r="E830" i="4"/>
  <c r="K830" i="4" s="1"/>
  <c r="I830" i="4" s="1"/>
  <c r="E829" i="4"/>
  <c r="K829" i="4" s="1"/>
  <c r="I829" i="4" s="1"/>
  <c r="E831" i="4"/>
  <c r="K831" i="4" s="1"/>
  <c r="I831" i="4" s="1"/>
  <c r="E587" i="4"/>
  <c r="K587" i="4" s="1"/>
  <c r="I587" i="4" s="1"/>
  <c r="E639" i="4"/>
  <c r="K639" i="4" s="1"/>
  <c r="I639" i="4" s="1"/>
  <c r="E740" i="4"/>
  <c r="K740" i="4" s="1"/>
  <c r="I740" i="4" s="1"/>
  <c r="E739" i="4"/>
  <c r="K739" i="4" s="1"/>
  <c r="I739" i="4" s="1"/>
  <c r="E710" i="4"/>
  <c r="K710" i="4" s="1"/>
  <c r="I710" i="4" s="1"/>
  <c r="E640" i="4"/>
  <c r="K640" i="4" s="1"/>
  <c r="I640" i="4" s="1"/>
  <c r="E699" i="4"/>
  <c r="K699" i="4" s="1"/>
  <c r="I699" i="4" s="1"/>
  <c r="E700" i="4"/>
  <c r="E629" i="4"/>
  <c r="K629" i="4" s="1"/>
  <c r="I629" i="4" s="1"/>
  <c r="E711" i="4"/>
  <c r="K711" i="4" s="1"/>
  <c r="I711" i="4" s="1"/>
  <c r="E634" i="4"/>
  <c r="K634" i="4" s="1"/>
  <c r="I634" i="4" s="1"/>
  <c r="E633" i="4"/>
  <c r="K633" i="4" s="1"/>
  <c r="I633" i="4" s="1"/>
  <c r="I42" i="3"/>
  <c r="J42" i="3" s="1"/>
  <c r="E626" i="4" s="1"/>
  <c r="K626" i="4" s="1"/>
  <c r="I626" i="4" s="1"/>
  <c r="E625" i="4"/>
  <c r="E726" i="4"/>
  <c r="K726" i="4" s="1"/>
  <c r="I726" i="4" s="1"/>
  <c r="C150" i="3"/>
  <c r="F150" i="3"/>
  <c r="AC34" i="3"/>
  <c r="AC35" i="3" s="1"/>
  <c r="AD35" i="3" s="1"/>
  <c r="E593" i="4" s="1"/>
  <c r="K593" i="4" s="1"/>
  <c r="I593" i="4" s="1"/>
  <c r="E588" i="4"/>
  <c r="E589" i="4" s="1"/>
  <c r="K589" i="4" s="1"/>
  <c r="I589" i="4" s="1"/>
  <c r="E599" i="4"/>
  <c r="E600" i="4" s="1"/>
  <c r="K600" i="4" s="1"/>
  <c r="I600" i="4" s="1"/>
  <c r="E597" i="4"/>
  <c r="S34" i="3"/>
  <c r="S35" i="3" s="1"/>
  <c r="T35" i="3" s="1"/>
  <c r="E574" i="4" s="1"/>
  <c r="K574" i="4" s="1"/>
  <c r="I574" i="4" s="1"/>
  <c r="E576" i="4"/>
  <c r="E581" i="4" s="1"/>
  <c r="K581" i="4" s="1"/>
  <c r="I581" i="4" s="1"/>
  <c r="E569" i="4"/>
  <c r="E570" i="4" s="1"/>
  <c r="K570" i="4" s="1"/>
  <c r="I570" i="4" s="1"/>
  <c r="E500" i="4"/>
  <c r="E502" i="4" s="1"/>
  <c r="K502" i="4" s="1"/>
  <c r="I502" i="4" s="1"/>
  <c r="E498" i="4"/>
  <c r="E487" i="4"/>
  <c r="E745" i="4"/>
  <c r="K745" i="4" s="1"/>
  <c r="I745" i="4" s="1"/>
  <c r="E746" i="4"/>
  <c r="K746" i="4" s="1"/>
  <c r="I746" i="4" s="1"/>
  <c r="E717" i="4"/>
  <c r="K717" i="4" s="1"/>
  <c r="I717" i="4" s="1"/>
  <c r="E497" i="4"/>
  <c r="K497" i="4" s="1"/>
  <c r="I497" i="4" s="1"/>
  <c r="E596" i="4"/>
  <c r="K596" i="4" s="1"/>
  <c r="I596" i="4" s="1"/>
  <c r="E701" i="4" l="1"/>
  <c r="K701" i="4" s="1"/>
  <c r="I701" i="4" s="1"/>
  <c r="J700" i="4"/>
  <c r="I700" i="4" s="1"/>
  <c r="E733" i="4"/>
  <c r="K733" i="4" s="1"/>
  <c r="I733" i="4" s="1"/>
  <c r="E606" i="4"/>
  <c r="K606" i="4" s="1"/>
  <c r="I606" i="4" s="1"/>
  <c r="E605" i="4"/>
  <c r="K605" i="4" s="1"/>
  <c r="I605" i="4" s="1"/>
  <c r="E609" i="4"/>
  <c r="K609" i="4" s="1"/>
  <c r="I609" i="4" s="1"/>
  <c r="E604" i="4"/>
  <c r="K604" i="4" s="1"/>
  <c r="I604" i="4" s="1"/>
  <c r="E610" i="4"/>
  <c r="K610" i="4" s="1"/>
  <c r="I610" i="4" s="1"/>
  <c r="E608" i="4"/>
  <c r="K608" i="4" s="1"/>
  <c r="I608" i="4" s="1"/>
  <c r="E505" i="4"/>
  <c r="K505" i="4" s="1"/>
  <c r="I505" i="4" s="1"/>
  <c r="E511" i="4"/>
  <c r="K511" i="4" s="1"/>
  <c r="I511" i="4" s="1"/>
  <c r="E506" i="4"/>
  <c r="K506" i="4" s="1"/>
  <c r="I506" i="4" s="1"/>
  <c r="E509" i="4"/>
  <c r="K509" i="4" s="1"/>
  <c r="I509" i="4" s="1"/>
  <c r="E507" i="4"/>
  <c r="K507" i="4" s="1"/>
  <c r="I507" i="4" s="1"/>
  <c r="E579" i="4"/>
  <c r="K579" i="4" s="1"/>
  <c r="I579" i="4" s="1"/>
  <c r="E602" i="4"/>
  <c r="K602" i="4" s="1"/>
  <c r="I602" i="4" s="1"/>
  <c r="I35" i="3"/>
  <c r="J35" i="3" s="1"/>
  <c r="E493" i="4"/>
  <c r="E580" i="4"/>
  <c r="K580" i="4" s="1"/>
  <c r="I580" i="4" s="1"/>
  <c r="E503" i="4"/>
  <c r="K503" i="4" s="1"/>
  <c r="I503" i="4" s="1"/>
  <c r="E501" i="4"/>
  <c r="K501" i="4" s="1"/>
  <c r="I501" i="4" s="1"/>
  <c r="E601" i="4"/>
  <c r="K601" i="4" s="1"/>
  <c r="I601" i="4" s="1"/>
  <c r="E577" i="4"/>
  <c r="K577" i="4" s="1"/>
  <c r="I577" i="4" s="1"/>
  <c r="E508" i="4"/>
  <c r="K508" i="4" s="1"/>
  <c r="I508" i="4" s="1"/>
  <c r="E607" i="4"/>
  <c r="K607" i="4" s="1"/>
  <c r="I607" i="4" s="1"/>
  <c r="E704" i="4" l="1"/>
  <c r="K704" i="4" s="1"/>
  <c r="I704" i="4" s="1"/>
  <c r="E708" i="4"/>
  <c r="K708" i="4" s="1"/>
  <c r="I708" i="4" s="1"/>
  <c r="E572" i="4"/>
  <c r="K572" i="4" s="1"/>
  <c r="E575" i="4"/>
  <c r="K575" i="4" s="1"/>
  <c r="I575" i="4" s="1"/>
  <c r="E495" i="4"/>
  <c r="K495" i="4" s="1"/>
  <c r="I495" i="4" s="1"/>
  <c r="F126" i="3"/>
  <c r="C126" i="3"/>
  <c r="F124" i="3"/>
  <c r="C124" i="3"/>
  <c r="C123" i="3"/>
  <c r="F123" i="3"/>
  <c r="F122" i="3"/>
  <c r="C122" i="3"/>
  <c r="F119" i="3"/>
  <c r="C119" i="3"/>
  <c r="F118" i="3"/>
  <c r="C118" i="3"/>
  <c r="C117" i="3"/>
  <c r="O28" i="3"/>
  <c r="E459" i="4" s="1"/>
  <c r="E28" i="3"/>
  <c r="I26" i="3"/>
  <c r="S25" i="3"/>
  <c r="O25" i="3"/>
  <c r="I25" i="3"/>
  <c r="E25" i="3"/>
  <c r="I27" i="3" s="1"/>
  <c r="E427" i="4"/>
  <c r="K427" i="4" s="1"/>
  <c r="I427" i="4" s="1"/>
  <c r="E426" i="4"/>
  <c r="K426" i="4" s="1"/>
  <c r="I426" i="4" s="1"/>
  <c r="E425" i="4"/>
  <c r="K425" i="4" s="1"/>
  <c r="I425" i="4" s="1"/>
  <c r="E423" i="4"/>
  <c r="K423" i="4" s="1"/>
  <c r="I423" i="4" s="1"/>
  <c r="E422" i="4"/>
  <c r="K422" i="4" s="1"/>
  <c r="I422" i="4" s="1"/>
  <c r="E421" i="4"/>
  <c r="K421" i="4" s="1"/>
  <c r="I421" i="4" s="1"/>
  <c r="E419" i="4"/>
  <c r="K419" i="4" s="1"/>
  <c r="I419" i="4" s="1"/>
  <c r="E417" i="4"/>
  <c r="K417" i="4" s="1"/>
  <c r="I417" i="4" s="1"/>
  <c r="E306" i="4"/>
  <c r="I572" i="4" l="1"/>
  <c r="K855" i="4"/>
  <c r="E308" i="4"/>
  <c r="K308" i="4" s="1"/>
  <c r="I308" i="4" s="1"/>
  <c r="E307" i="4"/>
  <c r="K307" i="4" s="1"/>
  <c r="I307" i="4" s="1"/>
  <c r="E391" i="4"/>
  <c r="C127" i="3"/>
  <c r="F127" i="3"/>
  <c r="E467" i="4"/>
  <c r="J467" i="4" s="1"/>
  <c r="I467" i="4" s="1"/>
  <c r="E394" i="4"/>
  <c r="K394" i="4" s="1"/>
  <c r="I394" i="4" s="1"/>
  <c r="E404" i="4"/>
  <c r="E407" i="4" s="1"/>
  <c r="K407" i="4" s="1"/>
  <c r="I407" i="4" s="1"/>
  <c r="E402" i="4"/>
  <c r="E403" i="4" s="1"/>
  <c r="K403" i="4" s="1"/>
  <c r="I403" i="4" s="1"/>
  <c r="E400" i="4"/>
  <c r="E401" i="4" s="1"/>
  <c r="K401" i="4" s="1"/>
  <c r="I401" i="4" s="1"/>
  <c r="E408" i="4"/>
  <c r="S27" i="3"/>
  <c r="S28" i="3" s="1"/>
  <c r="T28" i="3" s="1"/>
  <c r="E457" i="4" s="1"/>
  <c r="K457" i="4" s="1"/>
  <c r="I457" i="4" s="1"/>
  <c r="E463" i="4"/>
  <c r="E452" i="4"/>
  <c r="E397" i="4"/>
  <c r="E291" i="4"/>
  <c r="K291" i="4" s="1"/>
  <c r="I291" i="4" s="1"/>
  <c r="E301" i="4"/>
  <c r="K301" i="4" s="1"/>
  <c r="I301" i="4" s="1"/>
  <c r="E300" i="4"/>
  <c r="K300" i="4" s="1"/>
  <c r="I300" i="4" s="1"/>
  <c r="E299" i="4"/>
  <c r="K299" i="4" s="1"/>
  <c r="I299" i="4" s="1"/>
  <c r="E297" i="4"/>
  <c r="K297" i="4" s="1"/>
  <c r="I297" i="4" s="1"/>
  <c r="E296" i="4"/>
  <c r="K296" i="4" s="1"/>
  <c r="I296" i="4" s="1"/>
  <c r="E295" i="4"/>
  <c r="K295" i="4" s="1"/>
  <c r="I295" i="4" s="1"/>
  <c r="E293" i="4"/>
  <c r="K293" i="4" s="1"/>
  <c r="I293" i="4" s="1"/>
  <c r="E292" i="4"/>
  <c r="K292" i="4" s="1"/>
  <c r="I292" i="4" s="1"/>
  <c r="E289" i="4"/>
  <c r="K289" i="4" s="1"/>
  <c r="I289" i="4" s="1"/>
  <c r="E286" i="4"/>
  <c r="E285" i="4"/>
  <c r="K285" i="4" s="1"/>
  <c r="I285" i="4" s="1"/>
  <c r="E470" i="4" l="1"/>
  <c r="K470" i="4" s="1"/>
  <c r="I470" i="4" s="1"/>
  <c r="E474" i="4"/>
  <c r="K474" i="4" s="1"/>
  <c r="I474" i="4" s="1"/>
  <c r="E469" i="4"/>
  <c r="K469" i="4" s="1"/>
  <c r="I469" i="4" s="1"/>
  <c r="E473" i="4"/>
  <c r="K473" i="4" s="1"/>
  <c r="I473" i="4" s="1"/>
  <c r="E472" i="4"/>
  <c r="K472" i="4" s="1"/>
  <c r="I472" i="4" s="1"/>
  <c r="E468" i="4"/>
  <c r="K468" i="4" s="1"/>
  <c r="I468" i="4" s="1"/>
  <c r="E414" i="4"/>
  <c r="K414" i="4" s="1"/>
  <c r="I414" i="4" s="1"/>
  <c r="E409" i="4"/>
  <c r="K409" i="4" s="1"/>
  <c r="I409" i="4" s="1"/>
  <c r="E410" i="4"/>
  <c r="K410" i="4" s="1"/>
  <c r="I410" i="4" s="1"/>
  <c r="E415" i="4"/>
  <c r="K415" i="4" s="1"/>
  <c r="I415" i="4" s="1"/>
  <c r="E413" i="4"/>
  <c r="K413" i="4" s="1"/>
  <c r="I413" i="4" s="1"/>
  <c r="E411" i="4"/>
  <c r="K411" i="4" s="1"/>
  <c r="I411" i="4" s="1"/>
  <c r="I28" i="3"/>
  <c r="J28" i="3" s="1"/>
  <c r="E399" i="4"/>
  <c r="K399" i="4" s="1"/>
  <c r="I399" i="4" s="1"/>
  <c r="E406" i="4"/>
  <c r="K406" i="4" s="1"/>
  <c r="I406" i="4" s="1"/>
  <c r="E405" i="4"/>
  <c r="K405" i="4" s="1"/>
  <c r="I405" i="4" s="1"/>
  <c r="E465" i="4"/>
  <c r="K465" i="4" s="1"/>
  <c r="I465" i="4" s="1"/>
  <c r="E464" i="4"/>
  <c r="K464" i="4" s="1"/>
  <c r="I464" i="4" s="1"/>
  <c r="E466" i="4"/>
  <c r="K466" i="4" s="1"/>
  <c r="I466" i="4" s="1"/>
  <c r="E471" i="4"/>
  <c r="K471" i="4" s="1"/>
  <c r="I471" i="4" s="1"/>
  <c r="E453" i="4"/>
  <c r="K453" i="4" s="1"/>
  <c r="I453" i="4" s="1"/>
  <c r="E454" i="4"/>
  <c r="J454" i="4" s="1"/>
  <c r="I454" i="4" s="1"/>
  <c r="E451" i="4"/>
  <c r="K451" i="4" s="1"/>
  <c r="I451" i="4" s="1"/>
  <c r="E412" i="4"/>
  <c r="K412" i="4" s="1"/>
  <c r="I412" i="4" s="1"/>
  <c r="E287" i="4"/>
  <c r="K287" i="4" s="1"/>
  <c r="I287" i="4" s="1"/>
  <c r="E456" i="4" l="1"/>
  <c r="J456" i="4" s="1"/>
  <c r="I456" i="4" s="1"/>
  <c r="E455" i="4"/>
  <c r="K455" i="4" s="1"/>
  <c r="I455" i="4" s="1"/>
  <c r="E458" i="4" l="1"/>
  <c r="K458" i="4" s="1"/>
  <c r="I458" i="4" s="1"/>
  <c r="F105" i="3"/>
  <c r="C104" i="3"/>
  <c r="C99" i="3"/>
  <c r="C96" i="3"/>
  <c r="C94" i="3"/>
  <c r="C95" i="3"/>
  <c r="C93" i="3"/>
  <c r="C92" i="3"/>
  <c r="C105" i="3"/>
  <c r="F104" i="3"/>
  <c r="F99" i="3"/>
  <c r="F96" i="3"/>
  <c r="F95" i="3"/>
  <c r="F94" i="3"/>
  <c r="F93" i="3"/>
  <c r="F92" i="3"/>
  <c r="E18" i="3"/>
  <c r="Y21" i="3"/>
  <c r="E367" i="4" s="1"/>
  <c r="O21" i="3"/>
  <c r="AC18" i="3"/>
  <c r="Y18" i="3"/>
  <c r="S18" i="3"/>
  <c r="O18" i="3"/>
  <c r="I19" i="3"/>
  <c r="I18" i="3"/>
  <c r="E268" i="4"/>
  <c r="E276" i="4" l="1"/>
  <c r="J276" i="4" s="1"/>
  <c r="I276" i="4" s="1"/>
  <c r="E269" i="4"/>
  <c r="K269" i="4" s="1"/>
  <c r="I269" i="4" s="1"/>
  <c r="AC20" i="3"/>
  <c r="AC21" i="3" s="1"/>
  <c r="AD21" i="3" s="1"/>
  <c r="E365" i="4" s="1"/>
  <c r="K365" i="4" s="1"/>
  <c r="I365" i="4" s="1"/>
  <c r="E369" i="4"/>
  <c r="E371" i="4"/>
  <c r="E272" i="4"/>
  <c r="E270" i="4"/>
  <c r="S20" i="3"/>
  <c r="S21" i="3" s="1"/>
  <c r="T21" i="3" s="1"/>
  <c r="E346" i="4" s="1"/>
  <c r="K346" i="4" s="1"/>
  <c r="I346" i="4" s="1"/>
  <c r="E341" i="4"/>
  <c r="E339" i="4"/>
  <c r="E348" i="4"/>
  <c r="E368" i="4"/>
  <c r="K368" i="4" s="1"/>
  <c r="I368" i="4" s="1"/>
  <c r="E245" i="4"/>
  <c r="K245" i="4" s="1"/>
  <c r="I245" i="4" s="1"/>
  <c r="E148" i="4"/>
  <c r="K148" i="4" s="1"/>
  <c r="I148" i="4" s="1"/>
  <c r="E147" i="4"/>
  <c r="K147" i="4" s="1"/>
  <c r="I147" i="4" s="1"/>
  <c r="E146" i="4"/>
  <c r="K146" i="4" s="1"/>
  <c r="I146" i="4" s="1"/>
  <c r="E162" i="4"/>
  <c r="E152" i="4"/>
  <c r="K152" i="4" s="1"/>
  <c r="I152" i="4" s="1"/>
  <c r="E151" i="4"/>
  <c r="K151" i="4" s="1"/>
  <c r="I151" i="4" s="1"/>
  <c r="E150" i="4"/>
  <c r="K150" i="4" s="1"/>
  <c r="I150" i="4" s="1"/>
  <c r="E144" i="4"/>
  <c r="K144" i="4" s="1"/>
  <c r="I144" i="4" s="1"/>
  <c r="E143" i="4"/>
  <c r="K143" i="4" s="1"/>
  <c r="I143" i="4" s="1"/>
  <c r="E142" i="4"/>
  <c r="K142" i="4" s="1"/>
  <c r="I142" i="4" s="1"/>
  <c r="E42" i="4"/>
  <c r="K42" i="4" s="1"/>
  <c r="I42" i="4" s="1"/>
  <c r="E378" i="4" l="1"/>
  <c r="K378" i="4" s="1"/>
  <c r="I378" i="4" s="1"/>
  <c r="E377" i="4"/>
  <c r="K377" i="4" s="1"/>
  <c r="I377" i="4" s="1"/>
  <c r="E376" i="4"/>
  <c r="K376" i="4" s="1"/>
  <c r="I376" i="4" s="1"/>
  <c r="E381" i="4"/>
  <c r="K381" i="4" s="1"/>
  <c r="I381" i="4" s="1"/>
  <c r="E380" i="4"/>
  <c r="K380" i="4" s="1"/>
  <c r="I380" i="4" s="1"/>
  <c r="E382" i="4"/>
  <c r="K382" i="4" s="1"/>
  <c r="I382" i="4" s="1"/>
  <c r="E279" i="4"/>
  <c r="K279" i="4" s="1"/>
  <c r="I279" i="4" s="1"/>
  <c r="E283" i="4"/>
  <c r="K283" i="4" s="1"/>
  <c r="I283" i="4" s="1"/>
  <c r="E282" i="4"/>
  <c r="K282" i="4" s="1"/>
  <c r="I282" i="4" s="1"/>
  <c r="E281" i="4"/>
  <c r="K281" i="4" s="1"/>
  <c r="I281" i="4" s="1"/>
  <c r="E278" i="4"/>
  <c r="K278" i="4" s="1"/>
  <c r="I278" i="4" s="1"/>
  <c r="E277" i="4"/>
  <c r="K277" i="4" s="1"/>
  <c r="I277" i="4" s="1"/>
  <c r="E260" i="4"/>
  <c r="K260" i="4" s="1"/>
  <c r="I260" i="4" s="1"/>
  <c r="E275" i="4"/>
  <c r="K275" i="4" s="1"/>
  <c r="I275" i="4" s="1"/>
  <c r="E273" i="4"/>
  <c r="K273" i="4" s="1"/>
  <c r="I273" i="4" s="1"/>
  <c r="E274" i="4"/>
  <c r="K274" i="4" s="1"/>
  <c r="I274" i="4" s="1"/>
  <c r="E362" i="4"/>
  <c r="J362" i="4" s="1"/>
  <c r="I362" i="4" s="1"/>
  <c r="E372" i="4"/>
  <c r="K372" i="4" s="1"/>
  <c r="I372" i="4" s="1"/>
  <c r="E373" i="4"/>
  <c r="K373" i="4" s="1"/>
  <c r="I373" i="4" s="1"/>
  <c r="E374" i="4"/>
  <c r="K374" i="4" s="1"/>
  <c r="I374" i="4" s="1"/>
  <c r="E379" i="4"/>
  <c r="K379" i="4" s="1"/>
  <c r="I379" i="4" s="1"/>
  <c r="E370" i="4"/>
  <c r="K370" i="4" s="1"/>
  <c r="I370" i="4" s="1"/>
  <c r="E349" i="4"/>
  <c r="K349" i="4" s="1"/>
  <c r="I349" i="4" s="1"/>
  <c r="I21" i="3"/>
  <c r="J21" i="3" s="1"/>
  <c r="E266" i="4" s="1"/>
  <c r="K266" i="4" s="1"/>
  <c r="I266" i="4" s="1"/>
  <c r="E265" i="4"/>
  <c r="E271" i="4"/>
  <c r="K271" i="4" s="1"/>
  <c r="I271" i="4" s="1"/>
  <c r="E280" i="4"/>
  <c r="K280" i="4" s="1"/>
  <c r="I280" i="4" s="1"/>
  <c r="E366" i="4" l="1"/>
  <c r="K366" i="4" s="1"/>
  <c r="I366" i="4" s="1"/>
  <c r="E344" i="4"/>
  <c r="K344" i="4" s="1"/>
  <c r="I344" i="4" s="1"/>
  <c r="E352" i="4"/>
  <c r="K352" i="4" s="1"/>
  <c r="I352" i="4" s="1"/>
  <c r="E353" i="4"/>
  <c r="K353" i="4" s="1"/>
  <c r="I353" i="4" s="1"/>
  <c r="E351" i="4"/>
  <c r="K351" i="4" s="1"/>
  <c r="I351" i="4" s="1"/>
  <c r="E363" i="4"/>
  <c r="K363" i="4" s="1"/>
  <c r="I363" i="4" s="1"/>
  <c r="E267" i="4"/>
  <c r="K267" i="4" s="1"/>
  <c r="I267" i="4" s="1"/>
  <c r="E347" i="4" l="1"/>
  <c r="K347" i="4" s="1"/>
  <c r="I347" i="4" s="1"/>
  <c r="Y14" i="3" l="1"/>
  <c r="AC11" i="3"/>
  <c r="Y11" i="3"/>
  <c r="O14" i="3"/>
  <c r="E196" i="4" s="1"/>
  <c r="S11" i="3"/>
  <c r="O11" i="3"/>
  <c r="E187" i="4" s="1"/>
  <c r="I12" i="3"/>
  <c r="I11" i="3"/>
  <c r="E11" i="3"/>
  <c r="E77" i="4"/>
  <c r="J77" i="4" s="1"/>
  <c r="I77" i="4" s="1"/>
  <c r="E79" i="4" l="1"/>
  <c r="J79" i="4" s="1"/>
  <c r="I79" i="4" s="1"/>
  <c r="E78" i="4"/>
  <c r="K78" i="4" s="1"/>
  <c r="I78" i="4" s="1"/>
  <c r="E225" i="4"/>
  <c r="E216" i="4"/>
  <c r="E189" i="4"/>
  <c r="E200" i="4"/>
  <c r="E198" i="4"/>
  <c r="C88" i="3"/>
  <c r="F88" i="3"/>
  <c r="E226" i="4"/>
  <c r="K226" i="4" s="1"/>
  <c r="I226" i="4" s="1"/>
  <c r="E233" i="4"/>
  <c r="J233" i="4" s="1"/>
  <c r="I233" i="4" s="1"/>
  <c r="I14" i="3"/>
  <c r="J14" i="3" s="1"/>
  <c r="E197" i="4"/>
  <c r="K197" i="4" s="1"/>
  <c r="I197" i="4" s="1"/>
  <c r="E204" i="4"/>
  <c r="J204" i="4" s="1"/>
  <c r="I204" i="4" s="1"/>
  <c r="E227" i="4"/>
  <c r="E218" i="4"/>
  <c r="E229" i="4"/>
  <c r="S13" i="3"/>
  <c r="S14" i="3" s="1"/>
  <c r="T14" i="3" s="1"/>
  <c r="AC13" i="3"/>
  <c r="AC14" i="3" s="1"/>
  <c r="AD14" i="3" s="1"/>
  <c r="E223" i="4" s="1"/>
  <c r="K223" i="4" s="1"/>
  <c r="I223" i="4" s="1"/>
  <c r="E86" i="4"/>
  <c r="J86" i="4" s="1"/>
  <c r="I86" i="4" s="1"/>
  <c r="E44" i="4"/>
  <c r="K44" i="4" s="1"/>
  <c r="I44" i="4" s="1"/>
  <c r="A49" i="4"/>
  <c r="A50" i="4"/>
  <c r="A51" i="4"/>
  <c r="A52" i="4"/>
  <c r="E90" i="4"/>
  <c r="J90" i="4" s="1"/>
  <c r="I90" i="4" s="1"/>
  <c r="E83" i="4"/>
  <c r="K83" i="4" s="1"/>
  <c r="I83" i="4" s="1"/>
  <c r="A45" i="4"/>
  <c r="A46" i="4"/>
  <c r="A47" i="4"/>
  <c r="A48" i="4"/>
  <c r="E52" i="4"/>
  <c r="K52" i="4" s="1"/>
  <c r="I52" i="4" s="1"/>
  <c r="E48" i="4"/>
  <c r="K48" i="4" s="1"/>
  <c r="I48" i="4" s="1"/>
  <c r="E47" i="4"/>
  <c r="K47" i="4" s="1"/>
  <c r="I47" i="4" s="1"/>
  <c r="E46" i="4"/>
  <c r="K46" i="4" s="1"/>
  <c r="I46" i="4" s="1"/>
  <c r="A43" i="4"/>
  <c r="A32" i="4"/>
  <c r="E236" i="4" l="1"/>
  <c r="K236" i="4" s="1"/>
  <c r="I236" i="4" s="1"/>
  <c r="E240" i="4"/>
  <c r="K240" i="4" s="1"/>
  <c r="I240" i="4" s="1"/>
  <c r="E239" i="4"/>
  <c r="K239" i="4" s="1"/>
  <c r="I239" i="4" s="1"/>
  <c r="E238" i="4"/>
  <c r="K238" i="4" s="1"/>
  <c r="I238" i="4" s="1"/>
  <c r="E234" i="4"/>
  <c r="K234" i="4" s="1"/>
  <c r="I234" i="4" s="1"/>
  <c r="E235" i="4"/>
  <c r="K235" i="4" s="1"/>
  <c r="I235" i="4" s="1"/>
  <c r="E207" i="4"/>
  <c r="K207" i="4" s="1"/>
  <c r="I207" i="4" s="1"/>
  <c r="E211" i="4"/>
  <c r="K211" i="4" s="1"/>
  <c r="I211" i="4" s="1"/>
  <c r="E210" i="4"/>
  <c r="K210" i="4" s="1"/>
  <c r="I210" i="4" s="1"/>
  <c r="E206" i="4"/>
  <c r="K206" i="4" s="1"/>
  <c r="I206" i="4" s="1"/>
  <c r="E205" i="4"/>
  <c r="K205" i="4" s="1"/>
  <c r="I205" i="4" s="1"/>
  <c r="E93" i="4"/>
  <c r="K93" i="4" s="1"/>
  <c r="I93" i="4" s="1"/>
  <c r="E96" i="4"/>
  <c r="K96" i="4" s="1"/>
  <c r="I96" i="4" s="1"/>
  <c r="E92" i="4"/>
  <c r="K92" i="4" s="1"/>
  <c r="I92" i="4" s="1"/>
  <c r="E91" i="4"/>
  <c r="K91" i="4" s="1"/>
  <c r="I91" i="4" s="1"/>
  <c r="E97" i="4"/>
  <c r="K97" i="4" s="1"/>
  <c r="I97" i="4" s="1"/>
  <c r="E232" i="4"/>
  <c r="K232" i="4" s="1"/>
  <c r="I232" i="4" s="1"/>
  <c r="E231" i="4"/>
  <c r="K231" i="4" s="1"/>
  <c r="I231" i="4" s="1"/>
  <c r="E230" i="4"/>
  <c r="K230" i="4" s="1"/>
  <c r="I230" i="4" s="1"/>
  <c r="E222" i="4"/>
  <c r="J222" i="4" s="1"/>
  <c r="I222" i="4" s="1"/>
  <c r="E220" i="4"/>
  <c r="J220" i="4" s="1"/>
  <c r="I220" i="4" s="1"/>
  <c r="E219" i="4"/>
  <c r="K219" i="4" s="1"/>
  <c r="I219" i="4" s="1"/>
  <c r="E217" i="4"/>
  <c r="K217" i="4" s="1"/>
  <c r="I217" i="4" s="1"/>
  <c r="E228" i="4"/>
  <c r="K228" i="4" s="1"/>
  <c r="I228" i="4" s="1"/>
  <c r="E237" i="4"/>
  <c r="K237" i="4" s="1"/>
  <c r="I237" i="4" s="1"/>
  <c r="E209" i="4"/>
  <c r="K209" i="4" s="1"/>
  <c r="I209" i="4" s="1"/>
  <c r="E208" i="4"/>
  <c r="K208" i="4" s="1"/>
  <c r="I208" i="4" s="1"/>
  <c r="E199" i="4"/>
  <c r="K199" i="4" s="1"/>
  <c r="I199" i="4" s="1"/>
  <c r="E188" i="4"/>
  <c r="K188" i="4" s="1"/>
  <c r="I188" i="4" s="1"/>
  <c r="E190" i="4"/>
  <c r="K190" i="4" s="1"/>
  <c r="I190" i="4" s="1"/>
  <c r="E95" i="4"/>
  <c r="K95" i="4" s="1"/>
  <c r="I95" i="4" s="1"/>
  <c r="E94" i="4"/>
  <c r="K94" i="4" s="1"/>
  <c r="I94" i="4" s="1"/>
  <c r="E85" i="4"/>
  <c r="K85" i="4" s="1"/>
  <c r="I85" i="4" s="1"/>
  <c r="A16" i="4"/>
  <c r="A17" i="4"/>
  <c r="E224" i="4" l="1"/>
  <c r="K224" i="4" s="1"/>
  <c r="I224" i="4" s="1"/>
  <c r="E192" i="4"/>
  <c r="K192" i="4" s="1"/>
  <c r="I192" i="4" s="1"/>
  <c r="E221" i="4"/>
  <c r="K221" i="4" s="1"/>
  <c r="I221" i="4" s="1"/>
  <c r="I5" i="3" l="1"/>
  <c r="I4" i="3"/>
  <c r="E7" i="3"/>
  <c r="E22" i="4" s="1"/>
  <c r="K22" i="4" s="1"/>
  <c r="I22" i="4" s="1"/>
  <c r="E4" i="3"/>
  <c r="E10" i="4" s="1"/>
  <c r="F65" i="3"/>
  <c r="C65" i="3"/>
  <c r="F60" i="3"/>
  <c r="I6" i="3" l="1"/>
  <c r="I7" i="3"/>
  <c r="J7" i="3" s="1"/>
  <c r="E19" i="4" s="1"/>
  <c r="K19" i="4" s="1"/>
  <c r="I19" i="4" s="1"/>
  <c r="E25" i="4"/>
  <c r="E12" i="4"/>
  <c r="E14" i="3"/>
  <c r="E119" i="4" l="1"/>
  <c r="E127" i="4"/>
  <c r="E121" i="4"/>
  <c r="E140" i="4"/>
  <c r="K140" i="4" s="1"/>
  <c r="I140" i="4" s="1"/>
  <c r="E137" i="4"/>
  <c r="E138" i="4" s="1"/>
  <c r="K138" i="4" s="1"/>
  <c r="I138" i="4" s="1"/>
  <c r="E136" i="4"/>
  <c r="K136" i="4" s="1"/>
  <c r="I136" i="4" s="1"/>
  <c r="E130" i="4" l="1"/>
  <c r="K130" i="4" s="1"/>
  <c r="I130" i="4" s="1"/>
  <c r="E133" i="4"/>
  <c r="K133" i="4" s="1"/>
  <c r="I133" i="4" s="1"/>
  <c r="E132" i="4"/>
  <c r="K132" i="4" s="1"/>
  <c r="I132" i="4" s="1"/>
  <c r="E134" i="4"/>
  <c r="K134" i="4" s="1"/>
  <c r="I134" i="4" s="1"/>
  <c r="E201" i="4"/>
  <c r="K201" i="4" s="1"/>
  <c r="I201" i="4" s="1"/>
  <c r="E202" i="4"/>
  <c r="K202" i="4" s="1"/>
  <c r="I202" i="4" s="1"/>
  <c r="E203" i="4"/>
  <c r="K203" i="4" s="1"/>
  <c r="I203" i="4" s="1"/>
  <c r="E43" i="4" l="1"/>
  <c r="K43" i="4" s="1"/>
  <c r="I43" i="4" s="1"/>
  <c r="E40" i="4"/>
  <c r="K40" i="4" s="1"/>
  <c r="I40" i="4" s="1"/>
  <c r="E38" i="4"/>
  <c r="K38" i="4" s="1"/>
  <c r="I38" i="4" s="1"/>
  <c r="E29" i="4"/>
  <c r="J29" i="4" s="1"/>
  <c r="I29" i="4" l="1"/>
  <c r="E32" i="4"/>
  <c r="K32" i="4" s="1"/>
  <c r="I32" i="4" s="1"/>
  <c r="E30" i="4"/>
  <c r="K30" i="4" s="1"/>
  <c r="I30" i="4" s="1"/>
  <c r="E31" i="4"/>
  <c r="K31" i="4" s="1"/>
  <c r="I31" i="4" s="1"/>
  <c r="E36" i="4"/>
  <c r="K36" i="4" s="1"/>
  <c r="I36" i="4" s="1"/>
  <c r="E35" i="4"/>
  <c r="K35" i="4" s="1"/>
  <c r="I35" i="4" s="1"/>
  <c r="E34" i="4"/>
  <c r="K34" i="4" s="1"/>
  <c r="I34" i="4" s="1"/>
  <c r="E11" i="4"/>
  <c r="K11" i="4" s="1"/>
  <c r="I11" i="4" s="1"/>
  <c r="E33" i="4"/>
  <c r="K33" i="4" s="1"/>
  <c r="I33" i="4" s="1"/>
  <c r="J855" i="4" l="1"/>
  <c r="I855" i="4" s="1"/>
  <c r="I857" i="4" s="1"/>
  <c r="I856" i="4" s="1"/>
  <c r="I851" i="4"/>
  <c r="E87" i="4"/>
  <c r="K87" i="4" s="1"/>
  <c r="I87" i="4" s="1"/>
  <c r="E88" i="4"/>
  <c r="K88" i="4" s="1"/>
  <c r="I88" i="4" s="1"/>
  <c r="E89" i="4"/>
  <c r="K89" i="4" s="1"/>
  <c r="I89" i="4" s="1"/>
  <c r="E81" i="4" l="1"/>
  <c r="K81" i="4" s="1"/>
  <c r="I81" i="4" s="1"/>
  <c r="E15" i="4"/>
  <c r="K15" i="4" s="1"/>
  <c r="I15" i="4" s="1"/>
  <c r="A10" i="4" l="1"/>
  <c r="A11" i="4"/>
  <c r="A12" i="4"/>
  <c r="A13" i="4"/>
  <c r="A14" i="4"/>
  <c r="A15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3" i="4"/>
  <c r="A34" i="4"/>
  <c r="A35" i="4"/>
  <c r="A36" i="4"/>
  <c r="A37" i="4"/>
  <c r="A38" i="4"/>
  <c r="A41" i="4"/>
  <c r="A42" i="4"/>
  <c r="E120" i="4" l="1"/>
  <c r="K120" i="4" s="1"/>
  <c r="I120" i="4" s="1"/>
</calcChain>
</file>

<file path=xl/sharedStrings.xml><?xml version="1.0" encoding="utf-8"?>
<sst xmlns="http://schemas.openxmlformats.org/spreadsheetml/2006/main" count="2701" uniqueCount="282">
  <si>
    <t>шт</t>
  </si>
  <si>
    <t>м2</t>
  </si>
  <si>
    <t>м</t>
  </si>
  <si>
    <t>кг</t>
  </si>
  <si>
    <t xml:space="preserve">ВЕДОМОСТЬ ОБЪЕМОВ РАБОТ </t>
  </si>
  <si>
    <t xml:space="preserve">Наименование работ </t>
  </si>
  <si>
    <t>Норма расхода</t>
  </si>
  <si>
    <t>Объём работ</t>
  </si>
  <si>
    <t>Цена за ед. изм., руб</t>
  </si>
  <si>
    <t>Стоимость,руб.</t>
  </si>
  <si>
    <t>Примечание</t>
  </si>
  <si>
    <t>всего</t>
  </si>
  <si>
    <t>в том числе</t>
  </si>
  <si>
    <t>Работа</t>
  </si>
  <si>
    <t>Материалы</t>
  </si>
  <si>
    <t>Материал подрядчика</t>
  </si>
  <si>
    <t>Расходный материал</t>
  </si>
  <si>
    <t xml:space="preserve">Материал не указанный в спецификации, но необходимый для качественного выполнения работ и СМР неучтенные в ведомости объемов работ (ВОР). </t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</si>
  <si>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</si>
  <si>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</si>
  <si>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</si>
  <si>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>Согласие на подписание типовой формы договора заказчика без протокола разногласий</t>
  </si>
  <si>
    <t>Да/Нет</t>
  </si>
  <si>
    <t>Контактные данные Участника (ФИО, номер телефона, адрес электронной почты):</t>
  </si>
  <si>
    <t>на выполнение строительно-монтажных работ по устройству кровли</t>
  </si>
  <si>
    <t>л</t>
  </si>
  <si>
    <t>Раствор цементно-песчаный М150</t>
  </si>
  <si>
    <t>м3</t>
  </si>
  <si>
    <t xml:space="preserve">Пропан </t>
  </si>
  <si>
    <t>Пароизоляционная пленка 200 мкн</t>
  </si>
  <si>
    <t>м/п</t>
  </si>
  <si>
    <t>Распорный дюбель (5 шт/1 м)</t>
  </si>
  <si>
    <t>Установка водоприемных воронок</t>
  </si>
  <si>
    <t>Держатель трубы</t>
  </si>
  <si>
    <t>Кровельный костыль, шаг 600 мм.</t>
  </si>
  <si>
    <t xml:space="preserve">Устройство примыканий наплавляемой гидроизоляции в 2 слоя </t>
  </si>
  <si>
    <t xml:space="preserve">Материал Подрядчика </t>
  </si>
  <si>
    <t>Сетка 3 Вр1 с ячейкой 200х200</t>
  </si>
  <si>
    <t>*Размеры уточнить по месту перед тем, как начать нарезку элементов мерной длины</t>
  </si>
  <si>
    <t>Перед началом производства работ уточнить актуальность рабочей документации</t>
  </si>
  <si>
    <t>Общая площадь кровли, м2</t>
  </si>
  <si>
    <t>Площадь кровли за вычетом ВШ, м2</t>
  </si>
  <si>
    <t>Длина примыканий, м</t>
  </si>
  <si>
    <t>Рейка краевая алюминиевая ТЕХНОНИКОЛЬ 4.8х50</t>
  </si>
  <si>
    <t>Ед. изм.</t>
  </si>
  <si>
    <t>Сегмент №</t>
  </si>
  <si>
    <t>S1</t>
  </si>
  <si>
    <t>Объем стяжки, м3</t>
  </si>
  <si>
    <t>Толщина t1, м</t>
  </si>
  <si>
    <t>Толщина t2, м</t>
  </si>
  <si>
    <t>Площадь сегмента, м2</t>
  </si>
  <si>
    <t>Общий объем стяжки, м3</t>
  </si>
  <si>
    <t>Установка аэраторов</t>
  </si>
  <si>
    <t>№ п/п</t>
  </si>
  <si>
    <t>Минераловатный утеплитель</t>
  </si>
  <si>
    <t>Установка парапетных воронок</t>
  </si>
  <si>
    <t xml:space="preserve">Раздел 1. Основная кровля (Тип 1) </t>
  </si>
  <si>
    <t>Устройство утепления 100мм</t>
  </si>
  <si>
    <t>Устройство наплавляемой гидроизоляции 2 слоя</t>
  </si>
  <si>
    <t xml:space="preserve">Устройство фартуков парапета </t>
  </si>
  <si>
    <t>Устройство слоя пароизоляции</t>
  </si>
  <si>
    <t xml:space="preserve">Устройство галтели из цементно-песчаной стяжки М 150 , 100х100 мм
</t>
  </si>
  <si>
    <t>Герметизация примыкания к фановым трубам</t>
  </si>
  <si>
    <t>Раздел 2. Вентшахты</t>
  </si>
  <si>
    <t>Устройство отлива покрытия</t>
  </si>
  <si>
    <t>Устройство отлива проема</t>
  </si>
  <si>
    <t>Обжимной хомут из оцинкованной стали /Держатель для трубы D150</t>
  </si>
  <si>
    <t>Монтаж водосточной системы</t>
  </si>
  <si>
    <t xml:space="preserve">"Унифлекс ЭКП" </t>
  </si>
  <si>
    <t>Мастика герметизирующая Технониколь №71 600мл</t>
  </si>
  <si>
    <t>Грунтовка ПФ-020 (2слоя)</t>
  </si>
  <si>
    <t>Эмаль ПФ-115 (2 слоя)</t>
  </si>
  <si>
    <t xml:space="preserve"> </t>
  </si>
  <si>
    <t>Кровля секция БС1</t>
  </si>
  <si>
    <t>БС-1</t>
  </si>
  <si>
    <t>ВШ</t>
  </si>
  <si>
    <r>
      <t xml:space="preserve">примыкание к вент. шахтам </t>
    </r>
    <r>
      <rPr>
        <b/>
        <sz val="11"/>
        <color theme="1"/>
        <rFont val="Calibri"/>
        <family val="2"/>
        <charset val="204"/>
        <scheme val="minor"/>
      </rPr>
      <t>(м.п.)</t>
    </r>
  </si>
  <si>
    <r>
      <t>площадь</t>
    </r>
    <r>
      <rPr>
        <b/>
        <sz val="11"/>
        <color theme="1"/>
        <rFont val="Calibri"/>
        <family val="2"/>
        <charset val="204"/>
        <scheme val="minor"/>
      </rPr>
      <t xml:space="preserve"> (м2)</t>
    </r>
  </si>
  <si>
    <r>
      <t xml:space="preserve">примыкание к парапетам+лифт. шахта + ВШ, </t>
    </r>
    <r>
      <rPr>
        <b/>
        <sz val="11"/>
        <color theme="1"/>
        <rFont val="Calibri"/>
        <family val="2"/>
        <charset val="204"/>
        <scheme val="minor"/>
      </rPr>
      <t>м</t>
    </r>
  </si>
  <si>
    <r>
      <t>ОТЛ Ф2,</t>
    </r>
    <r>
      <rPr>
        <b/>
        <sz val="11"/>
        <color theme="1"/>
        <rFont val="Calibri"/>
        <family val="2"/>
        <charset val="204"/>
        <scheme val="minor"/>
      </rPr>
      <t>м</t>
    </r>
  </si>
  <si>
    <t>ВШ, м2</t>
  </si>
  <si>
    <t>Экструзионный пенополистирол Технониколь Carbon Prof или аналог, 100 мм.</t>
  </si>
  <si>
    <t>Устройство цементно-песчаной стяжки М 150 армированная сеткой 3 Вр1 с ячейкой 
 200х200 - толщ. от 50 мм до 220 мм</t>
  </si>
  <si>
    <t>Огрунтовка поверхности ж/б плиты битумным праймером с учётом примыканий на 300мм</t>
  </si>
  <si>
    <t>Праймер битумный Технониколь №1 или аналог</t>
  </si>
  <si>
    <t>Утепление парапета на высоту 220мм</t>
  </si>
  <si>
    <t xml:space="preserve">Слой усиления "Унифлекс ТПП" </t>
  </si>
  <si>
    <t>Фасонная деталь из ЭПДМ-резины</t>
  </si>
  <si>
    <t>Герметизация примыкания к металлическим трубам (гусак-проходка)</t>
  </si>
  <si>
    <t>Обжимной металлический хомут</t>
  </si>
  <si>
    <t>Мастика герметизирующая ТЕХНОНИКОЛЬ №71</t>
  </si>
  <si>
    <r>
      <t>ОТ-8,</t>
    </r>
    <r>
      <rPr>
        <b/>
        <sz val="11"/>
        <color theme="1"/>
        <rFont val="Calibri"/>
        <family val="2"/>
        <charset val="204"/>
        <scheme val="minor"/>
      </rPr>
      <t>м</t>
    </r>
  </si>
  <si>
    <t>Кровля секция БС-1      тип 1</t>
  </si>
  <si>
    <t>Кровля секция БС-1     тип 1</t>
  </si>
  <si>
    <t>Устройство цементно-песчаной стяжки М 150 армированная сеткой 3 Вр1 с ячейкой 
 200х200 - толщ. от 50 мм до 100 мм</t>
  </si>
  <si>
    <t xml:space="preserve">Материал подрядчика    </t>
  </si>
  <si>
    <t>Кровля секция БС2</t>
  </si>
  <si>
    <t>ВШ , м2</t>
  </si>
  <si>
    <t>Кровля секция БС-2     тип 1</t>
  </si>
  <si>
    <t>Кровля секция БС-2     тип 3</t>
  </si>
  <si>
    <t>БС-2</t>
  </si>
  <si>
    <t xml:space="preserve">ВШ </t>
  </si>
  <si>
    <r>
      <t xml:space="preserve">площадь </t>
    </r>
    <r>
      <rPr>
        <b/>
        <sz val="11"/>
        <color theme="1"/>
        <rFont val="Calibri"/>
        <family val="2"/>
        <charset val="204"/>
        <scheme val="minor"/>
      </rPr>
      <t>(м2)</t>
    </r>
  </si>
  <si>
    <t>Кровля секция БС-2     тип 2</t>
  </si>
  <si>
    <t>Кровля секция БС-2    тип2</t>
  </si>
  <si>
    <t>Кровля секция БС-2    тип3</t>
  </si>
  <si>
    <t>Кровля секция БС-2    тип1</t>
  </si>
  <si>
    <t>Тип1</t>
  </si>
  <si>
    <t xml:space="preserve">Ф-2, м.п.   - </t>
  </si>
  <si>
    <t xml:space="preserve">К-1, м.п.    - </t>
  </si>
  <si>
    <t>Тип2</t>
  </si>
  <si>
    <t>Тип 3</t>
  </si>
  <si>
    <t xml:space="preserve">Ф-1, м.п </t>
  </si>
  <si>
    <t>От-3, м.п</t>
  </si>
  <si>
    <t>От-4, м.п</t>
  </si>
  <si>
    <t>От-5, м.п</t>
  </si>
  <si>
    <t>От-8, м.п.</t>
  </si>
  <si>
    <t>Устройство деформационного шва на кровле (примыкание между 9эт.)</t>
  </si>
  <si>
    <t>Раздел 3. Кровля Тип 3</t>
  </si>
  <si>
    <t xml:space="preserve">Материал подрядчика   </t>
  </si>
  <si>
    <t>Устройство цементно-песчаной стяжки М 150 армированная сеткой 3 Вр1 с ячейкой 
 200х200 - толщ. от 50 мм до 80 мм</t>
  </si>
  <si>
    <t>Водосточная труба Ø100мм L=2000 мм</t>
  </si>
  <si>
    <t>Сливное колено Ø100мм</t>
  </si>
  <si>
    <t xml:space="preserve">Изготовление и монтаж лестницы ЛМ-1 (металлические поверхности обезжирить, огрунтовать и окрасить ) </t>
  </si>
  <si>
    <t>Полоса 140х6, L=1075мм, ГОСТ 103-2006</t>
  </si>
  <si>
    <t>Круг Ø 18мм L=15360мм, ГОСТ 5781-82*</t>
  </si>
  <si>
    <t>Круг Ø 20мм L=26520мм, ГОСТ 5781-82*</t>
  </si>
  <si>
    <t>Кровля секция БС3</t>
  </si>
  <si>
    <t>Кровля секция БС-3    тип1</t>
  </si>
  <si>
    <t>Кровля секция        БС-3            тип 1</t>
  </si>
  <si>
    <t>Кровля секция БС-3    тип2</t>
  </si>
  <si>
    <t>Кровля секция БС-3     тип 2</t>
  </si>
  <si>
    <t>Кровля секция БС-3    тип3</t>
  </si>
  <si>
    <t>Кровля секция БС-3     тип 3</t>
  </si>
  <si>
    <t>БС-3</t>
  </si>
  <si>
    <t xml:space="preserve">Ф-5, м.п   - </t>
  </si>
  <si>
    <t xml:space="preserve">Укладка  пароизоляции   </t>
  </si>
  <si>
    <t xml:space="preserve">От-7, м.п  -  </t>
  </si>
  <si>
    <t xml:space="preserve">Огрунтовка поверхности ж/б плиты битумным праймером  </t>
  </si>
  <si>
    <t>Фартук из оцинкованной кровельной стали  Б-ПН-НО-0,5х965 L=м.п. ГОСТ 19904-90/ОН-КР-1 ГОСТ 14918-2020, (Ф-2)</t>
  </si>
  <si>
    <t>Отлив из оцинкованной кровельной стали Б-ПН-НО-0,5х200 L=м.п. ГОСТ 19904-90/ОН-КР-1 ГОСТ 14918-2020, (От-8)</t>
  </si>
  <si>
    <t>Фартук из оцинкованной кровельной стали Б-ПН-НО-0,5х785 L=м.п. ГОСТ 19904-90/ОН-КР-1 ГОСТ 14918-2020, (Ф-3)</t>
  </si>
  <si>
    <t>Фартук из оцинкованной кровельной стали Б-ПН-НО-0,5х965 L=м.п. ГОСТ 19904-90/ОН-КР-1 ГОСТ 14918-2020, (Ф-2)</t>
  </si>
  <si>
    <t>Отлив из оцинкованной кровельной стали Б-ПН-НО-0,5х785 L=м.п. ГОСТ 19904-90/ОН-КР-1 ГОСТ 14918-2020, (Ф-1)</t>
  </si>
  <si>
    <t xml:space="preserve">Материал подрядчика     </t>
  </si>
  <si>
    <t>Кровля секция БС4</t>
  </si>
  <si>
    <t>Кровля секция БС-4    тип1</t>
  </si>
  <si>
    <t>Кровля секция БС-4    тип2</t>
  </si>
  <si>
    <t>Кровля секция БС-4     тип 2</t>
  </si>
  <si>
    <t>БС-4</t>
  </si>
  <si>
    <t>Тип 2</t>
  </si>
  <si>
    <t xml:space="preserve">Ф-2, м.п.  - </t>
  </si>
  <si>
    <r>
      <t>ОТЛ Ф-3,</t>
    </r>
    <r>
      <rPr>
        <b/>
        <sz val="11"/>
        <color theme="1"/>
        <rFont val="Calibri"/>
        <family val="2"/>
        <charset val="204"/>
        <scheme val="minor"/>
      </rPr>
      <t>м</t>
    </r>
  </si>
  <si>
    <t>Ф-3, м.п.</t>
  </si>
  <si>
    <t>Кровля секция БС5</t>
  </si>
  <si>
    <t>БС-5</t>
  </si>
  <si>
    <t>Кровля секция БС-5    тип1</t>
  </si>
  <si>
    <t>Кровля секция БС-5    тип2</t>
  </si>
  <si>
    <t>Кровля секция БС-5     тип 2</t>
  </si>
  <si>
    <t>Кровля секция БС-5    тип3</t>
  </si>
  <si>
    <t>Кровля секция БС-5     тип 3</t>
  </si>
  <si>
    <t>Кровля секция БС6</t>
  </si>
  <si>
    <t>Кровля секция БС-6    тип1</t>
  </si>
  <si>
    <t>Кровля секция БС-6     тип 1</t>
  </si>
  <si>
    <t>Кровля секция БС-6    тип2</t>
  </si>
  <si>
    <t>Кровля секция БС-6     тип 2</t>
  </si>
  <si>
    <t>Кровля секция БС-6    тип3</t>
  </si>
  <si>
    <t>Кровля секция БС-6     тип 3</t>
  </si>
  <si>
    <t>БС-6</t>
  </si>
  <si>
    <t>Ф-3, м.п</t>
  </si>
  <si>
    <t>Кровля секция БС-7    тип1</t>
  </si>
  <si>
    <t>Кровля секция БС-7     тип 1</t>
  </si>
  <si>
    <t>Кровля секция БС-7    тип2</t>
  </si>
  <si>
    <t>Кровля секция БС-7     тип 2</t>
  </si>
  <si>
    <t>БС-7</t>
  </si>
  <si>
    <t xml:space="preserve">От-8, м.п.  -  </t>
  </si>
  <si>
    <t xml:space="preserve">От-6, м.п - </t>
  </si>
  <si>
    <t xml:space="preserve">Ф-3, м.п.  - </t>
  </si>
  <si>
    <t>Кровля секция БС7</t>
  </si>
  <si>
    <t>Устройство галтели из цементно-песчаной стяжки М 150 , 100х100 мм</t>
  </si>
  <si>
    <t>Профиль П-1 из оцинкованной стали 0,5мм (длина профиля по сечению - 1150 мм)</t>
  </si>
  <si>
    <r>
      <t xml:space="preserve">примыкание к парапетам+фрагмент 1, </t>
    </r>
    <r>
      <rPr>
        <b/>
        <sz val="11"/>
        <color theme="1"/>
        <rFont val="Calibri"/>
        <family val="2"/>
        <charset val="204"/>
        <scheme val="minor"/>
      </rPr>
      <t>м</t>
    </r>
  </si>
  <si>
    <t>ВШ1</t>
  </si>
  <si>
    <t>ВШ2</t>
  </si>
  <si>
    <t>ВШ3</t>
  </si>
  <si>
    <t>ВШ4</t>
  </si>
  <si>
    <t>ВШ5</t>
  </si>
  <si>
    <t>ВШ6</t>
  </si>
  <si>
    <t>ВШ7</t>
  </si>
  <si>
    <t>ВШ8</t>
  </si>
  <si>
    <t>ВШ9</t>
  </si>
  <si>
    <t>ВШ10</t>
  </si>
  <si>
    <t>ВШ11</t>
  </si>
  <si>
    <t>ВШ12</t>
  </si>
  <si>
    <r>
      <t xml:space="preserve">примык. к парапету основной кровли, </t>
    </r>
    <r>
      <rPr>
        <b/>
        <sz val="11"/>
        <color theme="1"/>
        <rFont val="Calibri"/>
        <family val="2"/>
        <charset val="204"/>
        <scheme val="minor"/>
      </rPr>
      <t>м</t>
    </r>
  </si>
  <si>
    <r>
      <t xml:space="preserve">К1, </t>
    </r>
    <r>
      <rPr>
        <b/>
        <sz val="11"/>
        <color theme="1"/>
        <rFont val="Calibri"/>
        <family val="2"/>
        <charset val="204"/>
        <scheme val="minor"/>
      </rPr>
      <t>м</t>
    </r>
  </si>
  <si>
    <t xml:space="preserve">Устройство набетонки толщ. 100мм для защитного покрытия кровли </t>
  </si>
  <si>
    <t>на объекте: «Многоэтажная жилая застройка 66ГА по адресу: г. Краснодар, Прикубанский внутригородской округ. 2 этап освоения в соответствии с КРТ» на земельном участке с кадастровым номером: 23:43:0143021:78563" 1 этап строительства. Корректировка 1. Литер 9.</t>
  </si>
  <si>
    <t>Тип 1</t>
  </si>
  <si>
    <t>Кровля секция БС-1    тип2</t>
  </si>
  <si>
    <t>Кровля секция БС-1     тип 2</t>
  </si>
  <si>
    <t>ВШ 1</t>
  </si>
  <si>
    <t>ВШ 2</t>
  </si>
  <si>
    <t>ВШ 4</t>
  </si>
  <si>
    <t xml:space="preserve">ВШ 3 </t>
  </si>
  <si>
    <t>ВШ 5</t>
  </si>
  <si>
    <t xml:space="preserve">ВШ 6 </t>
  </si>
  <si>
    <t>ВШ 7</t>
  </si>
  <si>
    <t>ВШ 8</t>
  </si>
  <si>
    <t xml:space="preserve">ВШ 9 </t>
  </si>
  <si>
    <t>ВШ 10</t>
  </si>
  <si>
    <t>ВШ 11</t>
  </si>
  <si>
    <t>ВШ 12</t>
  </si>
  <si>
    <t>ВШ 13</t>
  </si>
  <si>
    <t>От-8, м.п.   -</t>
  </si>
  <si>
    <r>
      <t xml:space="preserve">примыкание к парапету основной кровли, </t>
    </r>
    <r>
      <rPr>
        <b/>
        <sz val="11"/>
        <color theme="1"/>
        <rFont val="Calibri"/>
        <family val="2"/>
        <charset val="204"/>
        <scheme val="minor"/>
      </rPr>
      <t>м</t>
    </r>
  </si>
  <si>
    <r>
      <t xml:space="preserve">примыкание к парапету+лифт. шахта + ВШ, </t>
    </r>
    <r>
      <rPr>
        <b/>
        <sz val="11"/>
        <color theme="1"/>
        <rFont val="Calibri"/>
        <family val="2"/>
        <charset val="204"/>
        <scheme val="minor"/>
      </rPr>
      <t>м</t>
    </r>
  </si>
  <si>
    <t>Укладка  пароизоляции  с учётом примыкания на 100мм</t>
  </si>
  <si>
    <t xml:space="preserve"> "Технобарьер ТПП" или аналог</t>
  </si>
  <si>
    <t xml:space="preserve">"Унифлекс ТПП" </t>
  </si>
  <si>
    <t>Кровельная воронка HL61,1 с битумным полотном и подогревом (10-30Вт/230В), с листвоуловителем, с теплоизоляцией и обжимным фланцем</t>
  </si>
  <si>
    <t>Компенсатор из оцинкованной кровельной стали Б-ПН-НО-0,5х1210 L=м.п. ГОСТ 19904-90/ОН-КР-1 ГОСТ 14918-2020 (К-1)</t>
  </si>
  <si>
    <r>
      <t xml:space="preserve">Отлив из оцинкованной стали с полимерным покрытием </t>
    </r>
    <r>
      <rPr>
        <sz val="12"/>
        <rFont val="Calibri"/>
        <family val="2"/>
        <charset val="204"/>
      </rPr>
      <t>δ</t>
    </r>
    <r>
      <rPr>
        <sz val="12"/>
        <rFont val="Times New Roman"/>
        <family val="1"/>
        <charset val="204"/>
      </rPr>
      <t>=0,5мм, шириной 210мм (От-10)</t>
    </r>
  </si>
  <si>
    <t xml:space="preserve">Материал подрядчика </t>
  </si>
  <si>
    <t xml:space="preserve">Комплекс работ по устройству переходов прямоугольно-треугольного сечения из оцинкованной стали (длина одной из сторон до 1600 мм)               </t>
  </si>
  <si>
    <t xml:space="preserve">Металлический зонт (ВШ-1 730х1060мм)     </t>
  </si>
  <si>
    <t xml:space="preserve">Материал подрядчика         </t>
  </si>
  <si>
    <t xml:space="preserve">Металлический зонт (ВШ-2 730х1170мм)     </t>
  </si>
  <si>
    <t xml:space="preserve">Металлический зонт (ВШ-3 730х1250мм)     </t>
  </si>
  <si>
    <t xml:space="preserve">Комплекс работ по устройству переходов прямоугольно-треугольного сечения из оцинкованной стали (длина одной из сторон до 2200 мм)               </t>
  </si>
  <si>
    <t xml:space="preserve">Металлический зонт (ВШ-4 730х1810мм)     </t>
  </si>
  <si>
    <t>Раздел 3. Кровля Тип 2</t>
  </si>
  <si>
    <t>Фартук из оцинкованной кровельной стали Б-ПН-НО-0,5х895 L=м.п. ГОСТ 19904-90/ОН-КР-1 ГОСТ 14918-2020, (Ф-3)</t>
  </si>
  <si>
    <t>Отлив из оцинкованной стали с полимерным покрытием δ=0,5мм, шириной 210мм (От-8)</t>
  </si>
  <si>
    <t>Экструзионный пенополистирол Технониколь Carbon Prof или аналог</t>
  </si>
  <si>
    <t>Водоприёмная парапетная воронка с угловым отводом</t>
  </si>
  <si>
    <t>Аэратор кровельный Технониколь</t>
  </si>
  <si>
    <t>Фасонный элемент Б-ПН-НО-0,5х380 L=м.п. ГОСТ 19904-90/ОН-КР-1 ГОСТ 14918-2020, (Ф-5)</t>
  </si>
  <si>
    <t>Компенсатор из оцинкованной кровельной стали Б-ПН-НО-0,5х1210 L=м.п. ГОСТ 19904-90/ОН-КР-1 ГОСТ 14918-2020  (К-1)</t>
  </si>
  <si>
    <t>Уголок 50х50х4,  L=19400мм, ГОСТ 8509-93</t>
  </si>
  <si>
    <t>Технобарьер ТПП или аналог</t>
  </si>
  <si>
    <t>Устройство отлива проёма</t>
  </si>
  <si>
    <t>Отлив из оцинкованной кровельной стали с полимерным покрытием δ=0,5мм, шириной 480мм (От-5)</t>
  </si>
  <si>
    <t>Отлив из оцинкованной кровельной стали Б-ПН-НО-0,5х480 L=м.п. ГОСТ 19904-90/ОН-КР-1 ГОСТ 14918-2020, (От-3)</t>
  </si>
  <si>
    <t>Отлив из оцинкованной кровельной стали Б-ПН-НО-0,5х290 L=м.п. ГОСТ 19904-90/ОН-КР-1 ГОСТ 14918-2020, (От-4)</t>
  </si>
  <si>
    <r>
      <t xml:space="preserve">Отлив из оцинкованной кровельной стали с полимерным покрытием </t>
    </r>
    <r>
      <rPr>
        <sz val="12"/>
        <rFont val="Calibri"/>
        <family val="2"/>
        <charset val="204"/>
      </rPr>
      <t>δ</t>
    </r>
    <r>
      <rPr>
        <sz val="12"/>
        <rFont val="Times New Roman"/>
        <family val="1"/>
        <charset val="204"/>
      </rPr>
      <t>=0,5мм, шириной 510мм (От-7)</t>
    </r>
  </si>
  <si>
    <t>Раздел 4. Кровля Тип 3</t>
  </si>
  <si>
    <t>Отлив из оцинкованной кровельной стали ОЦ Б-ПН-НО-0,5х695 L=м.п. ГОСТ 19904-90/ОН-КР-1 ГОСТ 14918-2020, (Ф-1)</t>
  </si>
  <si>
    <t>Экструзионный пенополистирол Технониколь Carbon Prof или аналог,100 мм.</t>
  </si>
  <si>
    <t>Отлив из оцинкованной кровельной стали Б-ПН-НО-0,5х695 L=м.п. ГОСТ 19904-90/ОН-КР-1 ГОСТ 14918-2020, (Ф-1)</t>
  </si>
  <si>
    <t>Отлив из оцинкованной стали с полимерным покрытием δ=0,5мм, шириной 700мм (От-6)</t>
  </si>
  <si>
    <r>
      <t xml:space="preserve">ОТ-10, </t>
    </r>
    <r>
      <rPr>
        <b/>
        <sz val="11"/>
        <color theme="1"/>
        <rFont val="Calibri"/>
        <family val="2"/>
        <charset val="204"/>
        <scheme val="minor"/>
      </rPr>
      <t>м</t>
    </r>
  </si>
  <si>
    <t xml:space="preserve">От-10, м.п - </t>
  </si>
  <si>
    <t xml:space="preserve">От-10, м.п  -  </t>
  </si>
  <si>
    <t xml:space="preserve">От-10, м.п.    - </t>
  </si>
  <si>
    <t xml:space="preserve">От-10, м.п   - </t>
  </si>
  <si>
    <t xml:space="preserve">От-10, м.п.  - </t>
  </si>
  <si>
    <t>Экструзионный пенополистирол Технониколь Carbon Prof или аналог, 100мм</t>
  </si>
  <si>
    <t xml:space="preserve">м </t>
  </si>
  <si>
    <t>S, м2 (ЛМ-1)</t>
  </si>
  <si>
    <t>ИТОГО</t>
  </si>
  <si>
    <t>Расходный и крепежный материал.</t>
  </si>
  <si>
    <t>ИТОГО, руб. без НДС</t>
  </si>
  <si>
    <t>НДС, 22%</t>
  </si>
  <si>
    <t>ИТОГО, руб с НДС</t>
  </si>
  <si>
    <t>Обязательная поля для заполнения участников:</t>
  </si>
  <si>
    <t>Форма ответа Подрядчика/Поставщика</t>
  </si>
  <si>
    <t>Наименование организации, ИНН</t>
  </si>
  <si>
    <t>Указать в текстовом виде</t>
  </si>
  <si>
    <t>Начало работ на объекте (по ТЗ согласно ГПР):</t>
  </si>
  <si>
    <t>Окончание работ (по ТЗ согласно ГПР):</t>
  </si>
  <si>
    <t>Срок поставки в календарных днях</t>
  </si>
  <si>
    <t>Условия оплаты: поэтапно 100% постоплата, отсрочка платежа 30 календарных дней</t>
  </si>
  <si>
    <t>Гарантийные обязательства на материалы/работы/услуги не менее 60 месяцев</t>
  </si>
  <si>
    <t>Доставка силами и за счет поставщика включена в общую стоимость</t>
  </si>
  <si>
    <t>Указать систему налогообложения</t>
  </si>
  <si>
    <t>ОСН/УСН</t>
  </si>
  <si>
    <t>Наличие СРО на Строительно-монтажные работы</t>
  </si>
  <si>
    <t>Приложить Референс-лист</t>
  </si>
  <si>
    <t>Приложить текстовый файл в свободной форме, должен содержать инфо с опытом работы в каких годах какие работы выполняли, в каких объемах, у каких застройщиков работали.</t>
  </si>
  <si>
    <t>файл</t>
  </si>
  <si>
    <t>Комментарий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</si>
</sst>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  <numFmt numFmtId="166" formatCode="0.000"/>
    <numFmt numFmtId="167" formatCode="0.0"/>
    <numFmt numFmtId="168" formatCode="#,##0.00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1"/>
    </font>
    <font>
      <b/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EB9C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CCFFFF"/>
      </patternFill>
    </fill>
    <fill>
      <patternFill patternType="solid">
        <fgColor theme="0"/>
        <bgColor rgb="FFF2F2F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0">
    <xf numFmtId="0" fontId="0" fillId="0" borderId="0"/>
    <xf numFmtId="0" fontId="9" fillId="0" borderId="0" applyProtection="0"/>
    <xf numFmtId="0" fontId="10" fillId="0" borderId="1">
      <alignment horizontal="center"/>
    </xf>
    <xf numFmtId="0" fontId="9" fillId="0" borderId="0">
      <alignment vertical="top"/>
    </xf>
    <xf numFmtId="0" fontId="10" fillId="0" borderId="1">
      <alignment horizontal="center"/>
    </xf>
    <xf numFmtId="0" fontId="10" fillId="0" borderId="0">
      <alignment vertical="top"/>
    </xf>
    <xf numFmtId="0" fontId="10" fillId="0" borderId="0">
      <alignment horizontal="right" vertical="top" wrapText="1"/>
    </xf>
    <xf numFmtId="0" fontId="10" fillId="0" borderId="0"/>
    <xf numFmtId="0" fontId="10" fillId="0" borderId="0"/>
    <xf numFmtId="0" fontId="10" fillId="0" borderId="0"/>
    <xf numFmtId="2" fontId="11" fillId="0" borderId="0">
      <alignment horizontal="right" vertical="top"/>
    </xf>
    <xf numFmtId="0" fontId="10" fillId="0" borderId="0"/>
    <xf numFmtId="0" fontId="10" fillId="0" borderId="1" applyFill="0" applyProtection="0">
      <alignment horizontal="center"/>
    </xf>
    <xf numFmtId="0" fontId="10" fillId="0" borderId="1" applyFill="0" applyProtection="0">
      <alignment horizontal="center"/>
    </xf>
    <xf numFmtId="0" fontId="9" fillId="0" borderId="0">
      <alignment vertical="top"/>
    </xf>
    <xf numFmtId="0" fontId="10" fillId="0" borderId="0"/>
    <xf numFmtId="0" fontId="10" fillId="0" borderId="1">
      <alignment horizontal="center" wrapText="1"/>
    </xf>
    <xf numFmtId="0" fontId="10" fillId="0" borderId="1">
      <alignment horizontal="center"/>
    </xf>
    <xf numFmtId="0" fontId="10" fillId="0" borderId="1">
      <alignment horizontal="center" wrapText="1"/>
    </xf>
    <xf numFmtId="0" fontId="10" fillId="0" borderId="1">
      <alignment horizontal="center"/>
    </xf>
    <xf numFmtId="0" fontId="10" fillId="0" borderId="0">
      <alignment horizontal="left" vertical="top"/>
    </xf>
    <xf numFmtId="0" fontId="10" fillId="0" borderId="0"/>
    <xf numFmtId="0" fontId="9" fillId="0" borderId="0"/>
    <xf numFmtId="0" fontId="12" fillId="0" borderId="0"/>
    <xf numFmtId="0" fontId="14" fillId="0" borderId="0"/>
    <xf numFmtId="164" fontId="9" fillId="0" borderId="0" applyFont="0" applyFill="0" applyBorder="0" applyAlignment="0" applyProtection="0"/>
    <xf numFmtId="0" fontId="15" fillId="0" borderId="0"/>
    <xf numFmtId="0" fontId="16" fillId="0" borderId="0"/>
    <xf numFmtId="0" fontId="17" fillId="0" borderId="0"/>
    <xf numFmtId="0" fontId="18" fillId="0" borderId="0"/>
    <xf numFmtId="0" fontId="9" fillId="0" borderId="0"/>
    <xf numFmtId="165" fontId="18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3" fillId="0" borderId="0"/>
    <xf numFmtId="0" fontId="20" fillId="0" borderId="0"/>
    <xf numFmtId="0" fontId="9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23" fillId="3" borderId="3" applyProtection="0"/>
    <xf numFmtId="0" fontId="24" fillId="4" borderId="0" applyBorder="0" applyProtection="0"/>
    <xf numFmtId="0" fontId="25" fillId="5" borderId="0" applyBorder="0" applyProtection="0"/>
    <xf numFmtId="0" fontId="26" fillId="6" borderId="0" applyBorder="0" applyProtection="0"/>
    <xf numFmtId="0" fontId="13" fillId="0" borderId="0"/>
    <xf numFmtId="0" fontId="10" fillId="0" borderId="9">
      <alignment horizontal="center"/>
    </xf>
    <xf numFmtId="0" fontId="10" fillId="0" borderId="9">
      <alignment horizontal="center"/>
    </xf>
    <xf numFmtId="0" fontId="10" fillId="0" borderId="9" applyFill="0" applyProtection="0">
      <alignment horizontal="center"/>
    </xf>
    <xf numFmtId="0" fontId="10" fillId="0" borderId="9" applyFill="0" applyProtection="0">
      <alignment horizontal="center"/>
    </xf>
    <xf numFmtId="0" fontId="10" fillId="0" borderId="9">
      <alignment horizontal="center" wrapText="1"/>
    </xf>
    <xf numFmtId="0" fontId="10" fillId="0" borderId="9">
      <alignment horizontal="center"/>
    </xf>
    <xf numFmtId="0" fontId="10" fillId="0" borderId="9">
      <alignment horizontal="center" wrapText="1"/>
    </xf>
    <xf numFmtId="0" fontId="10" fillId="0" borderId="9">
      <alignment horizontal="center"/>
    </xf>
    <xf numFmtId="0" fontId="8" fillId="0" borderId="0"/>
    <xf numFmtId="165" fontId="8" fillId="0" borderId="0" applyFont="0" applyFill="0" applyBorder="0" applyAlignment="0" applyProtection="0"/>
    <xf numFmtId="0" fontId="23" fillId="12" borderId="3" applyProtection="0"/>
    <xf numFmtId="0" fontId="24" fillId="13" borderId="0" applyBorder="0" applyProtection="0"/>
    <xf numFmtId="0" fontId="24" fillId="4" borderId="0" applyBorder="0" applyProtection="0"/>
    <xf numFmtId="0" fontId="24" fillId="13" borderId="0" applyBorder="0" applyProtection="0"/>
    <xf numFmtId="0" fontId="23" fillId="3" borderId="3" applyProtection="0"/>
    <xf numFmtId="0" fontId="23" fillId="12" borderId="3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593">
    <xf numFmtId="0" fontId="0" fillId="0" borderId="0" xfId="0"/>
    <xf numFmtId="0" fontId="0" fillId="0" borderId="0" xfId="0" applyAlignment="1">
      <alignment horizontal="center" vertical="center"/>
    </xf>
    <xf numFmtId="4" fontId="21" fillId="0" borderId="1" xfId="37" applyNumberFormat="1" applyFont="1" applyBorder="1" applyAlignment="1">
      <alignment horizontal="center" vertical="top" wrapText="1"/>
    </xf>
    <xf numFmtId="0" fontId="21" fillId="9" borderId="12" xfId="37" applyFont="1" applyFill="1" applyBorder="1" applyAlignment="1">
      <alignment horizontal="centerContinuous" vertical="top"/>
    </xf>
    <xf numFmtId="0" fontId="21" fillId="9" borderId="15" xfId="37" applyFont="1" applyFill="1" applyBorder="1" applyAlignment="1">
      <alignment horizontal="centerContinuous" vertical="top"/>
    </xf>
    <xf numFmtId="1" fontId="19" fillId="0" borderId="4" xfId="37" applyNumberFormat="1" applyFont="1" applyBorder="1" applyAlignment="1">
      <alignment horizontal="center" vertical="top"/>
    </xf>
    <xf numFmtId="1" fontId="19" fillId="0" borderId="1" xfId="37" applyNumberFormat="1" applyFont="1" applyBorder="1" applyAlignment="1">
      <alignment horizontal="center" vertical="top"/>
    </xf>
    <xf numFmtId="1" fontId="19" fillId="0" borderId="5" xfId="37" applyNumberFormat="1" applyFont="1" applyBorder="1" applyAlignment="1">
      <alignment horizontal="center" vertical="top"/>
    </xf>
    <xf numFmtId="0" fontId="19" fillId="0" borderId="0" xfId="0" applyFont="1" applyAlignment="1">
      <alignment vertical="top"/>
    </xf>
    <xf numFmtId="1" fontId="19" fillId="0" borderId="0" xfId="0" applyNumberFormat="1" applyFont="1" applyAlignment="1">
      <alignment vertical="top"/>
    </xf>
    <xf numFmtId="2" fontId="19" fillId="0" borderId="0" xfId="0" applyNumberFormat="1" applyFont="1" applyAlignment="1">
      <alignment vertical="top"/>
    </xf>
    <xf numFmtId="4" fontId="19" fillId="0" borderId="2" xfId="68" applyNumberFormat="1" applyFont="1" applyBorder="1" applyAlignment="1">
      <alignment horizontal="center" vertical="top" wrapText="1"/>
    </xf>
    <xf numFmtId="0" fontId="21" fillId="2" borderId="0" xfId="0" quotePrefix="1" applyFont="1" applyFill="1" applyAlignment="1">
      <alignment horizontal="left" vertical="top"/>
    </xf>
    <xf numFmtId="4" fontId="19" fillId="0" borderId="0" xfId="0" applyNumberFormat="1" applyFont="1" applyAlignment="1">
      <alignment horizontal="center" vertical="top"/>
    </xf>
    <xf numFmtId="4" fontId="19" fillId="0" borderId="0" xfId="68" applyNumberFormat="1" applyFont="1" applyAlignment="1">
      <alignment horizontal="center" vertical="top"/>
    </xf>
    <xf numFmtId="4" fontId="21" fillId="7" borderId="2" xfId="68" applyNumberFormat="1" applyFont="1" applyFill="1" applyBorder="1" applyAlignment="1">
      <alignment horizontal="center" vertical="top" wrapText="1"/>
    </xf>
    <xf numFmtId="0" fontId="19" fillId="9" borderId="0" xfId="0" applyFont="1" applyFill="1" applyAlignment="1">
      <alignment vertical="top"/>
    </xf>
    <xf numFmtId="0" fontId="19" fillId="17" borderId="0" xfId="0" applyFont="1" applyFill="1" applyAlignment="1">
      <alignment vertical="top"/>
    </xf>
    <xf numFmtId="0" fontId="21" fillId="17" borderId="13" xfId="0" applyFont="1" applyFill="1" applyBorder="1" applyAlignment="1">
      <alignment horizontal="center" vertical="top"/>
    </xf>
    <xf numFmtId="4" fontId="21" fillId="17" borderId="13" xfId="0" applyNumberFormat="1" applyFont="1" applyFill="1" applyBorder="1" applyAlignment="1">
      <alignment horizontal="center" vertical="top"/>
    </xf>
    <xf numFmtId="0" fontId="21" fillId="17" borderId="14" xfId="0" applyFont="1" applyFill="1" applyBorder="1" applyAlignment="1">
      <alignment horizontal="center" vertical="top"/>
    </xf>
    <xf numFmtId="0" fontId="21" fillId="17" borderId="12" xfId="37" applyFont="1" applyFill="1" applyBorder="1" applyAlignment="1">
      <alignment horizontal="center" vertical="top"/>
    </xf>
    <xf numFmtId="2" fontId="0" fillId="0" borderId="0" xfId="0" applyNumberFormat="1"/>
    <xf numFmtId="0" fontId="21" fillId="17" borderId="30" xfId="0" applyFont="1" applyFill="1" applyBorder="1" applyAlignment="1">
      <alignment horizontal="center" vertical="top"/>
    </xf>
    <xf numFmtId="4" fontId="21" fillId="17" borderId="30" xfId="0" applyNumberFormat="1" applyFont="1" applyFill="1" applyBorder="1" applyAlignment="1">
      <alignment horizontal="center" vertical="top"/>
    </xf>
    <xf numFmtId="0" fontId="21" fillId="17" borderId="31" xfId="0" applyFont="1" applyFill="1" applyBorder="1" applyAlignment="1">
      <alignment horizontal="center" vertical="top"/>
    </xf>
    <xf numFmtId="0" fontId="33" fillId="0" borderId="0" xfId="69" applyFont="1" applyFill="1" applyAlignment="1">
      <alignment vertical="top"/>
    </xf>
    <xf numFmtId="0" fontId="21" fillId="9" borderId="15" xfId="37" applyFont="1" applyFill="1" applyBorder="1" applyAlignment="1">
      <alignment horizontal="center" vertical="top"/>
    </xf>
    <xf numFmtId="0" fontId="21" fillId="9" borderId="14" xfId="37" applyFont="1" applyFill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4" fontId="21" fillId="7" borderId="32" xfId="68" applyNumberFormat="1" applyFont="1" applyFill="1" applyBorder="1" applyAlignment="1">
      <alignment horizontal="center" vertical="top" wrapText="1"/>
    </xf>
    <xf numFmtId="4" fontId="0" fillId="0" borderId="0" xfId="0" applyNumberFormat="1"/>
    <xf numFmtId="4" fontId="37" fillId="0" borderId="0" xfId="0" applyNumberFormat="1" applyFont="1"/>
    <xf numFmtId="0" fontId="0" fillId="0" borderId="0" xfId="0" applyBorder="1" applyAlignment="1">
      <alignment horizontal="center" vertical="center"/>
    </xf>
    <xf numFmtId="0" fontId="19" fillId="0" borderId="0" xfId="0" applyFont="1" applyFill="1" applyAlignment="1">
      <alignment vertical="top"/>
    </xf>
    <xf numFmtId="0" fontId="36" fillId="0" borderId="29" xfId="0" applyFont="1" applyFill="1" applyBorder="1" applyAlignment="1">
      <alignment horizontal="center" vertical="top"/>
    </xf>
    <xf numFmtId="0" fontId="36" fillId="9" borderId="29" xfId="0" applyFont="1" applyFill="1" applyBorder="1" applyAlignment="1">
      <alignment horizontal="center" vertical="top"/>
    </xf>
    <xf numFmtId="0" fontId="36" fillId="17" borderId="29" xfId="0" applyFont="1" applyFill="1" applyBorder="1" applyAlignment="1">
      <alignment horizontal="center" vertical="top"/>
    </xf>
    <xf numFmtId="4" fontId="19" fillId="11" borderId="0" xfId="0" applyNumberFormat="1" applyFont="1" applyFill="1" applyAlignment="1">
      <alignment horizontal="center"/>
    </xf>
    <xf numFmtId="4" fontId="19" fillId="0" borderId="32" xfId="68" applyNumberFormat="1" applyFont="1" applyFill="1" applyBorder="1" applyAlignment="1">
      <alignment horizontal="center" vertical="top" wrapText="1"/>
    </xf>
    <xf numFmtId="0" fontId="21" fillId="7" borderId="36" xfId="1" applyFont="1" applyFill="1" applyBorder="1" applyAlignment="1">
      <alignment horizontal="left" vertical="top" wrapText="1"/>
    </xf>
    <xf numFmtId="4" fontId="21" fillId="15" borderId="36" xfId="37" applyNumberFormat="1" applyFont="1" applyFill="1" applyBorder="1" applyAlignment="1">
      <alignment horizontal="center" vertical="top"/>
    </xf>
    <xf numFmtId="4" fontId="21" fillId="7" borderId="36" xfId="68" applyNumberFormat="1" applyFont="1" applyFill="1" applyBorder="1" applyAlignment="1">
      <alignment horizontal="center" vertical="top" wrapText="1"/>
    </xf>
    <xf numFmtId="0" fontId="27" fillId="15" borderId="37" xfId="37" applyFont="1" applyFill="1" applyBorder="1" applyAlignment="1">
      <alignment horizontal="center" vertical="top" wrapText="1"/>
    </xf>
    <xf numFmtId="0" fontId="19" fillId="2" borderId="36" xfId="1" applyFont="1" applyFill="1" applyBorder="1" applyAlignment="1">
      <alignment horizontal="center" vertical="top" wrapText="1"/>
    </xf>
    <xf numFmtId="4" fontId="19" fillId="8" borderId="36" xfId="37" applyNumberFormat="1" applyFont="1" applyFill="1" applyBorder="1" applyAlignment="1">
      <alignment horizontal="center" vertical="top"/>
    </xf>
    <xf numFmtId="49" fontId="27" fillId="0" borderId="37" xfId="37" applyNumberFormat="1" applyFont="1" applyBorder="1" applyAlignment="1">
      <alignment horizontal="center" vertical="top" wrapText="1"/>
    </xf>
    <xf numFmtId="2" fontId="19" fillId="0" borderId="38" xfId="38" applyNumberFormat="1" applyFont="1" applyBorder="1" applyAlignment="1">
      <alignment horizontal="center" vertical="top"/>
    </xf>
    <xf numFmtId="49" fontId="27" fillId="0" borderId="39" xfId="37" applyNumberFormat="1" applyFont="1" applyBorder="1" applyAlignment="1">
      <alignment horizontal="center" vertical="top" wrapText="1"/>
    </xf>
    <xf numFmtId="0" fontId="21" fillId="7" borderId="38" xfId="1" applyFont="1" applyFill="1" applyBorder="1" applyAlignment="1">
      <alignment horizontal="left" vertical="top" wrapText="1"/>
    </xf>
    <xf numFmtId="4" fontId="21" fillId="15" borderId="38" xfId="37" applyNumberFormat="1" applyFont="1" applyFill="1" applyBorder="1" applyAlignment="1">
      <alignment horizontal="center" vertical="top"/>
    </xf>
    <xf numFmtId="0" fontId="27" fillId="15" borderId="39" xfId="37" applyFont="1" applyFill="1" applyBorder="1" applyAlignment="1">
      <alignment horizontal="center" vertical="top" wrapText="1"/>
    </xf>
    <xf numFmtId="0" fontId="19" fillId="2" borderId="38" xfId="1" applyFont="1" applyFill="1" applyBorder="1" applyAlignment="1">
      <alignment horizontal="left" vertical="top" wrapText="1"/>
    </xf>
    <xf numFmtId="0" fontId="19" fillId="2" borderId="38" xfId="1" applyFont="1" applyFill="1" applyBorder="1" applyAlignment="1">
      <alignment horizontal="center" vertical="top" wrapText="1"/>
    </xf>
    <xf numFmtId="4" fontId="19" fillId="8" borderId="38" xfId="37" applyNumberFormat="1" applyFont="1" applyFill="1" applyBorder="1" applyAlignment="1">
      <alignment horizontal="center" vertical="top"/>
    </xf>
    <xf numFmtId="0" fontId="19" fillId="0" borderId="38" xfId="1" applyFont="1" applyBorder="1" applyAlignment="1">
      <alignment horizontal="left" vertical="top" wrapText="1"/>
    </xf>
    <xf numFmtId="168" fontId="19" fillId="8" borderId="38" xfId="37" applyNumberFormat="1" applyFont="1" applyFill="1" applyBorder="1" applyAlignment="1">
      <alignment horizontal="center" vertical="top"/>
    </xf>
    <xf numFmtId="49" fontId="27" fillId="2" borderId="39" xfId="37" applyNumberFormat="1" applyFont="1" applyFill="1" applyBorder="1" applyAlignment="1">
      <alignment horizontal="center" vertical="top" wrapText="1"/>
    </xf>
    <xf numFmtId="2" fontId="19" fillId="0" borderId="38" xfId="0" applyNumberFormat="1" applyFont="1" applyBorder="1" applyAlignment="1">
      <alignment horizontal="center" vertical="top" wrapText="1"/>
    </xf>
    <xf numFmtId="2" fontId="19" fillId="0" borderId="38" xfId="38" applyNumberFormat="1" applyFont="1" applyBorder="1" applyAlignment="1">
      <alignment horizontal="center" vertical="top" wrapText="1"/>
    </xf>
    <xf numFmtId="0" fontId="19" fillId="0" borderId="38" xfId="38" applyFont="1" applyBorder="1" applyAlignment="1">
      <alignment horizontal="center" vertical="top"/>
    </xf>
    <xf numFmtId="4" fontId="19" fillId="0" borderId="38" xfId="37" applyNumberFormat="1" applyFont="1" applyBorder="1" applyAlignment="1">
      <alignment horizontal="center" vertical="top"/>
    </xf>
    <xf numFmtId="4" fontId="19" fillId="8" borderId="41" xfId="37" applyNumberFormat="1" applyFont="1" applyFill="1" applyBorder="1" applyAlignment="1">
      <alignment horizontal="center" vertical="top"/>
    </xf>
    <xf numFmtId="0" fontId="19" fillId="2" borderId="42" xfId="1" applyFont="1" applyFill="1" applyBorder="1" applyAlignment="1">
      <alignment horizontal="center" vertical="top" wrapText="1"/>
    </xf>
    <xf numFmtId="4" fontId="19" fillId="8" borderId="42" xfId="37" applyNumberFormat="1" applyFont="1" applyFill="1" applyBorder="1" applyAlignment="1">
      <alignment horizontal="center" vertical="top"/>
    </xf>
    <xf numFmtId="49" fontId="27" fillId="0" borderId="43" xfId="37" applyNumberFormat="1" applyFont="1" applyBorder="1" applyAlignment="1">
      <alignment horizontal="center" vertical="top" wrapText="1"/>
    </xf>
    <xf numFmtId="0" fontId="21" fillId="7" borderId="42" xfId="1" applyFont="1" applyFill="1" applyBorder="1" applyAlignment="1">
      <alignment horizontal="left" vertical="top" wrapText="1"/>
    </xf>
    <xf numFmtId="0" fontId="19" fillId="7" borderId="42" xfId="1" applyFont="1" applyFill="1" applyBorder="1" applyAlignment="1">
      <alignment horizontal="center" vertical="top" wrapText="1"/>
    </xf>
    <xf numFmtId="4" fontId="21" fillId="15" borderId="42" xfId="37" applyNumberFormat="1" applyFont="1" applyFill="1" applyBorder="1" applyAlignment="1">
      <alignment horizontal="center" vertical="top"/>
    </xf>
    <xf numFmtId="4" fontId="21" fillId="7" borderId="42" xfId="68" applyNumberFormat="1" applyFont="1" applyFill="1" applyBorder="1" applyAlignment="1">
      <alignment horizontal="center" vertical="top" wrapText="1"/>
    </xf>
    <xf numFmtId="0" fontId="27" fillId="15" borderId="43" xfId="37" applyFont="1" applyFill="1" applyBorder="1" applyAlignment="1">
      <alignment horizontal="center" vertical="top" wrapText="1"/>
    </xf>
    <xf numFmtId="0" fontId="19" fillId="0" borderId="42" xfId="1" applyFont="1" applyBorder="1" applyAlignment="1">
      <alignment horizontal="left" vertical="top" wrapText="1"/>
    </xf>
    <xf numFmtId="168" fontId="19" fillId="8" borderId="42" xfId="37" applyNumberFormat="1" applyFont="1" applyFill="1" applyBorder="1" applyAlignment="1">
      <alignment horizontal="center" vertical="top"/>
    </xf>
    <xf numFmtId="49" fontId="27" fillId="2" borderId="43" xfId="37" applyNumberFormat="1" applyFont="1" applyFill="1" applyBorder="1" applyAlignment="1">
      <alignment horizontal="center" vertical="top" wrapText="1"/>
    </xf>
    <xf numFmtId="0" fontId="19" fillId="2" borderId="42" xfId="1" applyFont="1" applyFill="1" applyBorder="1" applyAlignment="1">
      <alignment horizontal="left" vertical="top" wrapText="1"/>
    </xf>
    <xf numFmtId="2" fontId="19" fillId="0" borderId="42" xfId="38" applyNumberFormat="1" applyFont="1" applyBorder="1" applyAlignment="1">
      <alignment horizontal="center" vertical="top"/>
    </xf>
    <xf numFmtId="4" fontId="19" fillId="0" borderId="40" xfId="28" applyNumberFormat="1" applyFont="1" applyBorder="1" applyAlignment="1">
      <alignment horizontal="center" vertical="top" wrapText="1"/>
    </xf>
    <xf numFmtId="4" fontId="19" fillId="0" borderId="2" xfId="68" applyNumberFormat="1" applyFont="1" applyFill="1" applyBorder="1" applyAlignment="1">
      <alignment horizontal="center" vertical="top" wrapText="1"/>
    </xf>
    <xf numFmtId="4" fontId="21" fillId="7" borderId="41" xfId="68" applyNumberFormat="1" applyFont="1" applyFill="1" applyBorder="1" applyAlignment="1">
      <alignment horizontal="center" vertical="top" wrapText="1"/>
    </xf>
    <xf numFmtId="0" fontId="19" fillId="15" borderId="41" xfId="37" applyFont="1" applyFill="1" applyBorder="1" applyAlignment="1">
      <alignment horizontal="center" vertical="center"/>
    </xf>
    <xf numFmtId="164" fontId="21" fillId="7" borderId="41" xfId="68" applyFont="1" applyFill="1" applyBorder="1" applyAlignment="1">
      <alignment horizontal="center" vertical="center" wrapText="1"/>
    </xf>
    <xf numFmtId="49" fontId="35" fillId="18" borderId="41" xfId="0" applyNumberFormat="1" applyFont="1" applyFill="1" applyBorder="1" applyAlignment="1">
      <alignment horizontal="center" vertical="center" wrapText="1"/>
    </xf>
    <xf numFmtId="2" fontId="34" fillId="2" borderId="41" xfId="38" applyNumberFormat="1" applyFont="1" applyFill="1" applyBorder="1" applyAlignment="1">
      <alignment horizontal="center" vertical="center"/>
    </xf>
    <xf numFmtId="0" fontId="19" fillId="8" borderId="41" xfId="37" applyFont="1" applyFill="1" applyBorder="1" applyAlignment="1">
      <alignment horizontal="center" vertical="center"/>
    </xf>
    <xf numFmtId="164" fontId="19" fillId="2" borderId="41" xfId="68" applyFont="1" applyFill="1" applyBorder="1" applyAlignment="1">
      <alignment horizontal="center" vertical="center" wrapText="1"/>
    </xf>
    <xf numFmtId="49" fontId="35" fillId="16" borderId="41" xfId="0" applyNumberFormat="1" applyFont="1" applyFill="1" applyBorder="1" applyAlignment="1">
      <alignment horizontal="center" vertical="center" wrapText="1"/>
    </xf>
    <xf numFmtId="2" fontId="19" fillId="0" borderId="41" xfId="0" applyNumberFormat="1" applyFont="1" applyBorder="1" applyAlignment="1">
      <alignment horizontal="center" vertical="center" wrapText="1"/>
    </xf>
    <xf numFmtId="0" fontId="19" fillId="2" borderId="41" xfId="1" applyFont="1" applyFill="1" applyBorder="1" applyAlignment="1">
      <alignment horizontal="left" vertical="top" wrapText="1"/>
    </xf>
    <xf numFmtId="0" fontId="19" fillId="2" borderId="41" xfId="1" applyFont="1" applyFill="1" applyBorder="1" applyAlignment="1">
      <alignment horizontal="center" vertical="center" wrapText="1"/>
    </xf>
    <xf numFmtId="0" fontId="21" fillId="19" borderId="45" xfId="28" applyFont="1" applyFill="1" applyBorder="1" applyAlignment="1">
      <alignment vertical="center" wrapText="1"/>
    </xf>
    <xf numFmtId="4" fontId="19" fillId="15" borderId="41" xfId="37" applyNumberFormat="1" applyFont="1" applyFill="1" applyBorder="1" applyAlignment="1">
      <alignment horizontal="center" vertical="top"/>
    </xf>
    <xf numFmtId="49" fontId="27" fillId="7" borderId="41" xfId="37" applyNumberFormat="1" applyFont="1" applyFill="1" applyBorder="1" applyAlignment="1">
      <alignment horizontal="center" vertical="top" wrapText="1"/>
    </xf>
    <xf numFmtId="2" fontId="19" fillId="2" borderId="44" xfId="28" applyNumberFormat="1" applyFont="1" applyFill="1" applyBorder="1" applyAlignment="1">
      <alignment horizontal="center" vertical="center" wrapText="1"/>
    </xf>
    <xf numFmtId="49" fontId="27" fillId="0" borderId="46" xfId="37" applyNumberFormat="1" applyFont="1" applyBorder="1" applyAlignment="1">
      <alignment horizontal="center" vertical="top" wrapText="1"/>
    </xf>
    <xf numFmtId="2" fontId="19" fillId="2" borderId="47" xfId="28" applyNumberFormat="1" applyFont="1" applyFill="1" applyBorder="1" applyAlignment="1">
      <alignment horizontal="center" vertical="center" wrapText="1"/>
    </xf>
    <xf numFmtId="49" fontId="27" fillId="0" borderId="48" xfId="37" applyNumberFormat="1" applyFont="1" applyBorder="1" applyAlignment="1">
      <alignment horizontal="center" vertical="top" wrapText="1"/>
    </xf>
    <xf numFmtId="2" fontId="19" fillId="2" borderId="49" xfId="28" applyNumberFormat="1" applyFont="1" applyFill="1" applyBorder="1" applyAlignment="1">
      <alignment horizontal="center" vertical="center" wrapText="1"/>
    </xf>
    <xf numFmtId="49" fontId="27" fillId="0" borderId="50" xfId="37" applyNumberFormat="1" applyFont="1" applyBorder="1" applyAlignment="1">
      <alignment horizontal="center" vertical="top" wrapText="1"/>
    </xf>
    <xf numFmtId="2" fontId="19" fillId="2" borderId="51" xfId="28" applyNumberFormat="1" applyFont="1" applyFill="1" applyBorder="1" applyAlignment="1">
      <alignment horizontal="center" vertical="center" wrapText="1"/>
    </xf>
    <xf numFmtId="49" fontId="27" fillId="0" borderId="52" xfId="37" applyNumberFormat="1" applyFont="1" applyBorder="1" applyAlignment="1">
      <alignment horizontal="center" vertical="top" wrapText="1"/>
    </xf>
    <xf numFmtId="2" fontId="19" fillId="2" borderId="53" xfId="28" applyNumberFormat="1" applyFont="1" applyFill="1" applyBorder="1" applyAlignment="1">
      <alignment horizontal="center" vertical="center" wrapText="1"/>
    </xf>
    <xf numFmtId="49" fontId="27" fillId="0" borderId="55" xfId="37" applyNumberFormat="1" applyFont="1" applyBorder="1" applyAlignment="1">
      <alignment horizontal="center" vertical="top" wrapText="1"/>
    </xf>
    <xf numFmtId="0" fontId="19" fillId="2" borderId="56" xfId="1" applyFont="1" applyFill="1" applyBorder="1" applyAlignment="1">
      <alignment horizontal="center" vertical="top" wrapText="1"/>
    </xf>
    <xf numFmtId="4" fontId="19" fillId="8" borderId="56" xfId="37" applyNumberFormat="1" applyFont="1" applyFill="1" applyBorder="1" applyAlignment="1">
      <alignment horizontal="center" vertical="top"/>
    </xf>
    <xf numFmtId="0" fontId="19" fillId="2" borderId="57" xfId="1" applyFont="1" applyFill="1" applyBorder="1" applyAlignment="1">
      <alignment horizontal="center" vertical="top" wrapText="1"/>
    </xf>
    <xf numFmtId="4" fontId="19" fillId="8" borderId="57" xfId="37" applyNumberFormat="1" applyFont="1" applyFill="1" applyBorder="1" applyAlignment="1">
      <alignment horizontal="center" vertical="top"/>
    </xf>
    <xf numFmtId="49" fontId="27" fillId="0" borderId="58" xfId="37" applyNumberFormat="1" applyFont="1" applyBorder="1" applyAlignment="1">
      <alignment horizontal="center" vertical="top" wrapText="1"/>
    </xf>
    <xf numFmtId="0" fontId="19" fillId="0" borderId="57" xfId="1" applyFont="1" applyBorder="1" applyAlignment="1">
      <alignment horizontal="left" vertical="top" wrapText="1"/>
    </xf>
    <xf numFmtId="0" fontId="21" fillId="7" borderId="57" xfId="1" applyFont="1" applyFill="1" applyBorder="1" applyAlignment="1">
      <alignment horizontal="left" vertical="top" wrapText="1"/>
    </xf>
    <xf numFmtId="0" fontId="19" fillId="7" borderId="57" xfId="1" applyFont="1" applyFill="1" applyBorder="1" applyAlignment="1">
      <alignment horizontal="center" vertical="top" wrapText="1"/>
    </xf>
    <xf numFmtId="4" fontId="21" fillId="15" borderId="57" xfId="37" applyNumberFormat="1" applyFont="1" applyFill="1" applyBorder="1" applyAlignment="1">
      <alignment horizontal="center" vertical="top"/>
    </xf>
    <xf numFmtId="4" fontId="21" fillId="7" borderId="57" xfId="68" applyNumberFormat="1" applyFont="1" applyFill="1" applyBorder="1" applyAlignment="1">
      <alignment horizontal="center" vertical="top" wrapText="1"/>
    </xf>
    <xf numFmtId="0" fontId="27" fillId="15" borderId="58" xfId="37" applyFont="1" applyFill="1" applyBorder="1" applyAlignment="1">
      <alignment horizontal="center" vertical="top" wrapText="1"/>
    </xf>
    <xf numFmtId="168" fontId="19" fillId="8" borderId="57" xfId="37" applyNumberFormat="1" applyFont="1" applyFill="1" applyBorder="1" applyAlignment="1">
      <alignment horizontal="center" vertical="top"/>
    </xf>
    <xf numFmtId="49" fontId="27" fillId="2" borderId="58" xfId="37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19" fillId="2" borderId="41" xfId="28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2" fontId="37" fillId="14" borderId="29" xfId="0" applyNumberFormat="1" applyFont="1" applyFill="1" applyBorder="1" applyAlignment="1">
      <alignment horizontal="center" vertical="center"/>
    </xf>
    <xf numFmtId="164" fontId="38" fillId="14" borderId="29" xfId="0" applyNumberFormat="1" applyFont="1" applyFill="1" applyBorder="1"/>
    <xf numFmtId="164" fontId="38" fillId="14" borderId="29" xfId="68" applyFont="1" applyFill="1" applyBorder="1"/>
    <xf numFmtId="0" fontId="21" fillId="7" borderId="57" xfId="1" applyFont="1" applyFill="1" applyBorder="1" applyAlignment="1">
      <alignment horizontal="center" vertical="top" wrapText="1"/>
    </xf>
    <xf numFmtId="49" fontId="28" fillId="7" borderId="58" xfId="37" applyNumberFormat="1" applyFont="1" applyFill="1" applyBorder="1" applyAlignment="1">
      <alignment horizontal="center" vertical="top" wrapText="1"/>
    </xf>
    <xf numFmtId="0" fontId="21" fillId="17" borderId="12" xfId="37" applyFont="1" applyFill="1" applyBorder="1" applyAlignment="1">
      <alignment horizontal="left" vertical="top"/>
    </xf>
    <xf numFmtId="0" fontId="21" fillId="7" borderId="36" xfId="1" applyFont="1" applyFill="1" applyBorder="1" applyAlignment="1">
      <alignment horizontal="center" vertical="top" wrapText="1"/>
    </xf>
    <xf numFmtId="0" fontId="21" fillId="7" borderId="38" xfId="1" applyFont="1" applyFill="1" applyBorder="1" applyAlignment="1">
      <alignment horizontal="center" vertical="top" wrapText="1"/>
    </xf>
    <xf numFmtId="2" fontId="21" fillId="7" borderId="41" xfId="0" applyNumberFormat="1" applyFont="1" applyFill="1" applyBorder="1" applyAlignment="1">
      <alignment horizontal="center" vertical="center" wrapText="1"/>
    </xf>
    <xf numFmtId="0" fontId="21" fillId="7" borderId="42" xfId="1" applyFont="1" applyFill="1" applyBorder="1" applyAlignment="1">
      <alignment horizontal="center" vertical="top" wrapText="1"/>
    </xf>
    <xf numFmtId="164" fontId="38" fillId="14" borderId="8" xfId="68" applyFont="1" applyFill="1" applyBorder="1"/>
    <xf numFmtId="164" fontId="38" fillId="14" borderId="8" xfId="0" applyNumberFormat="1" applyFont="1" applyFill="1" applyBorder="1"/>
    <xf numFmtId="164" fontId="38" fillId="14" borderId="8" xfId="0" applyNumberFormat="1" applyFont="1" applyFill="1" applyBorder="1" applyAlignment="1">
      <alignment horizontal="center" vertical="center"/>
    </xf>
    <xf numFmtId="0" fontId="21" fillId="7" borderId="56" xfId="1" applyFont="1" applyFill="1" applyBorder="1" applyAlignment="1">
      <alignment horizontal="left" vertical="top" wrapText="1"/>
    </xf>
    <xf numFmtId="0" fontId="19" fillId="7" borderId="56" xfId="1" applyFont="1" applyFill="1" applyBorder="1" applyAlignment="1">
      <alignment horizontal="center" vertical="top" wrapText="1"/>
    </xf>
    <xf numFmtId="4" fontId="21" fillId="15" borderId="56" xfId="37" applyNumberFormat="1" applyFont="1" applyFill="1" applyBorder="1" applyAlignment="1">
      <alignment horizontal="center" vertical="top"/>
    </xf>
    <xf numFmtId="0" fontId="19" fillId="2" borderId="56" xfId="1" applyFont="1" applyFill="1" applyBorder="1" applyAlignment="1">
      <alignment horizontal="left" vertical="top" wrapText="1"/>
    </xf>
    <xf numFmtId="0" fontId="21" fillId="7" borderId="56" xfId="1" applyFont="1" applyFill="1" applyBorder="1" applyAlignment="1">
      <alignment horizontal="center" vertical="top" wrapText="1"/>
    </xf>
    <xf numFmtId="4" fontId="21" fillId="7" borderId="56" xfId="68" applyNumberFormat="1" applyFont="1" applyFill="1" applyBorder="1" applyAlignment="1">
      <alignment horizontal="center" vertical="top" wrapText="1"/>
    </xf>
    <xf numFmtId="168" fontId="19" fillId="8" borderId="56" xfId="37" applyNumberFormat="1" applyFont="1" applyFill="1" applyBorder="1" applyAlignment="1">
      <alignment horizontal="center" vertical="top"/>
    </xf>
    <xf numFmtId="0" fontId="19" fillId="0" borderId="56" xfId="1" applyFont="1" applyBorder="1" applyAlignment="1">
      <alignment horizontal="left" vertical="top" wrapText="1"/>
    </xf>
    <xf numFmtId="0" fontId="36" fillId="0" borderId="56" xfId="0" applyFont="1" applyFill="1" applyBorder="1" applyAlignment="1">
      <alignment horizontal="center" vertical="top"/>
    </xf>
    <xf numFmtId="2" fontId="19" fillId="0" borderId="56" xfId="38" applyNumberFormat="1" applyFont="1" applyBorder="1" applyAlignment="1">
      <alignment horizontal="center" vertical="top"/>
    </xf>
    <xf numFmtId="2" fontId="19" fillId="0" borderId="56" xfId="0" applyNumberFormat="1" applyFont="1" applyBorder="1" applyAlignment="1">
      <alignment horizontal="center" vertical="top" wrapText="1"/>
    </xf>
    <xf numFmtId="2" fontId="19" fillId="0" borderId="56" xfId="38" applyNumberFormat="1" applyFont="1" applyBorder="1" applyAlignment="1">
      <alignment horizontal="center" vertical="top" wrapText="1"/>
    </xf>
    <xf numFmtId="0" fontId="19" fillId="0" borderId="56" xfId="38" applyFont="1" applyBorder="1" applyAlignment="1">
      <alignment horizontal="center" vertical="top"/>
    </xf>
    <xf numFmtId="0" fontId="19" fillId="2" borderId="56" xfId="28" applyFont="1" applyFill="1" applyBorder="1" applyAlignment="1">
      <alignment vertical="center" wrapText="1"/>
    </xf>
    <xf numFmtId="4" fontId="21" fillId="7" borderId="56" xfId="68" applyNumberFormat="1" applyFont="1" applyFill="1" applyBorder="1" applyAlignment="1">
      <alignment horizontal="left" vertical="top" wrapText="1"/>
    </xf>
    <xf numFmtId="2" fontId="34" fillId="2" borderId="56" xfId="38" applyNumberFormat="1" applyFont="1" applyFill="1" applyBorder="1" applyAlignment="1">
      <alignment horizontal="center" vertical="center"/>
    </xf>
    <xf numFmtId="0" fontId="19" fillId="8" borderId="56" xfId="37" applyFont="1" applyFill="1" applyBorder="1" applyAlignment="1">
      <alignment horizontal="center" vertical="center"/>
    </xf>
    <xf numFmtId="2" fontId="19" fillId="0" borderId="56" xfId="0" applyNumberFormat="1" applyFont="1" applyBorder="1" applyAlignment="1">
      <alignment horizontal="center" vertical="center" wrapText="1"/>
    </xf>
    <xf numFmtId="0" fontId="19" fillId="2" borderId="56" xfId="1" applyFont="1" applyFill="1" applyBorder="1" applyAlignment="1">
      <alignment horizontal="center" vertical="center" wrapText="1"/>
    </xf>
    <xf numFmtId="0" fontId="21" fillId="17" borderId="61" xfId="37" applyFont="1" applyFill="1" applyBorder="1" applyAlignment="1">
      <alignment horizontal="left" vertical="top"/>
    </xf>
    <xf numFmtId="0" fontId="21" fillId="17" borderId="59" xfId="0" applyFont="1" applyFill="1" applyBorder="1" applyAlignment="1">
      <alignment horizontal="center" vertical="top"/>
    </xf>
    <xf numFmtId="4" fontId="21" fillId="17" borderId="59" xfId="0" applyNumberFormat="1" applyFont="1" applyFill="1" applyBorder="1" applyAlignment="1">
      <alignment horizontal="center" vertical="top"/>
    </xf>
    <xf numFmtId="0" fontId="21" fillId="17" borderId="60" xfId="0" applyFont="1" applyFill="1" applyBorder="1" applyAlignment="1">
      <alignment horizontal="center" vertical="top"/>
    </xf>
    <xf numFmtId="4" fontId="19" fillId="0" borderId="56" xfId="37" applyNumberFormat="1" applyFont="1" applyBorder="1" applyAlignment="1">
      <alignment horizontal="center" vertical="top"/>
    </xf>
    <xf numFmtId="0" fontId="0" fillId="0" borderId="29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0" xfId="0" applyFill="1"/>
    <xf numFmtId="0" fontId="31" fillId="0" borderId="8" xfId="0" applyFont="1" applyFill="1" applyBorder="1" applyAlignment="1">
      <alignment horizontal="center" vertical="center" wrapText="1"/>
    </xf>
    <xf numFmtId="2" fontId="31" fillId="0" borderId="8" xfId="0" applyNumberFormat="1" applyFont="1" applyFill="1" applyBorder="1" applyAlignment="1">
      <alignment horizontal="center" vertical="center"/>
    </xf>
    <xf numFmtId="0" fontId="31" fillId="0" borderId="35" xfId="0" applyFont="1" applyFill="1" applyBorder="1" applyAlignment="1">
      <alignment vertical="center"/>
    </xf>
    <xf numFmtId="0" fontId="31" fillId="0" borderId="8" xfId="0" applyFont="1" applyFill="1" applyBorder="1"/>
    <xf numFmtId="166" fontId="31" fillId="0" borderId="54" xfId="0" applyNumberFormat="1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2" fontId="39" fillId="0" borderId="54" xfId="0" applyNumberFormat="1" applyFont="1" applyFill="1" applyBorder="1" applyAlignment="1">
      <alignment horizontal="center" vertical="center"/>
    </xf>
    <xf numFmtId="164" fontId="38" fillId="0" borderId="8" xfId="68" applyFont="1" applyFill="1" applyBorder="1"/>
    <xf numFmtId="2" fontId="31" fillId="0" borderId="54" xfId="0" applyNumberFormat="1" applyFont="1" applyFill="1" applyBorder="1" applyAlignment="1">
      <alignment horizontal="center" vertical="center"/>
    </xf>
    <xf numFmtId="164" fontId="31" fillId="0" borderId="8" xfId="68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vertical="center"/>
    </xf>
    <xf numFmtId="2" fontId="0" fillId="0" borderId="0" xfId="0" applyNumberForma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2" borderId="57" xfId="1" applyFont="1" applyFill="1" applyBorder="1" applyAlignment="1">
      <alignment horizontal="left" vertical="top" wrapText="1"/>
    </xf>
    <xf numFmtId="2" fontId="19" fillId="0" borderId="57" xfId="38" applyNumberFormat="1" applyFont="1" applyBorder="1" applyAlignment="1">
      <alignment horizontal="center" vertical="top"/>
    </xf>
    <xf numFmtId="2" fontId="19" fillId="0" borderId="57" xfId="0" applyNumberFormat="1" applyFont="1" applyBorder="1" applyAlignment="1">
      <alignment horizontal="center" vertical="top" wrapText="1"/>
    </xf>
    <xf numFmtId="2" fontId="19" fillId="0" borderId="57" xfId="38" applyNumberFormat="1" applyFont="1" applyBorder="1" applyAlignment="1">
      <alignment horizontal="center" vertical="top" wrapText="1"/>
    </xf>
    <xf numFmtId="0" fontId="19" fillId="0" borderId="57" xfId="38" applyFont="1" applyBorder="1" applyAlignment="1">
      <alignment horizontal="center" vertical="top"/>
    </xf>
    <xf numFmtId="4" fontId="21" fillId="7" borderId="57" xfId="68" applyNumberFormat="1" applyFont="1" applyFill="1" applyBorder="1" applyAlignment="1">
      <alignment horizontal="left" vertical="top" wrapText="1"/>
    </xf>
    <xf numFmtId="2" fontId="19" fillId="7" borderId="57" xfId="0" applyNumberFormat="1" applyFont="1" applyFill="1" applyBorder="1" applyAlignment="1">
      <alignment horizontal="center" vertical="center" wrapText="1"/>
    </xf>
    <xf numFmtId="0" fontId="19" fillId="15" borderId="57" xfId="37" applyFont="1" applyFill="1" applyBorder="1" applyAlignment="1">
      <alignment horizontal="center" vertical="center"/>
    </xf>
    <xf numFmtId="164" fontId="21" fillId="7" borderId="57" xfId="68" applyFont="1" applyFill="1" applyBorder="1" applyAlignment="1">
      <alignment horizontal="center" vertical="center" wrapText="1"/>
    </xf>
    <xf numFmtId="49" fontId="35" fillId="18" borderId="57" xfId="0" applyNumberFormat="1" applyFont="1" applyFill="1" applyBorder="1" applyAlignment="1">
      <alignment horizontal="center" vertical="center" wrapText="1"/>
    </xf>
    <xf numFmtId="0" fontId="19" fillId="2" borderId="57" xfId="28" applyFont="1" applyFill="1" applyBorder="1" applyAlignment="1">
      <alignment vertical="center" wrapText="1"/>
    </xf>
    <xf numFmtId="2" fontId="34" fillId="2" borderId="57" xfId="38" applyNumberFormat="1" applyFont="1" applyFill="1" applyBorder="1" applyAlignment="1">
      <alignment horizontal="center" vertical="center"/>
    </xf>
    <xf numFmtId="0" fontId="19" fillId="8" borderId="57" xfId="37" applyFont="1" applyFill="1" applyBorder="1" applyAlignment="1">
      <alignment horizontal="center" vertical="center"/>
    </xf>
    <xf numFmtId="164" fontId="19" fillId="2" borderId="57" xfId="68" applyFont="1" applyFill="1" applyBorder="1" applyAlignment="1">
      <alignment horizontal="center" vertical="center" wrapText="1"/>
    </xf>
    <xf numFmtId="2" fontId="19" fillId="0" borderId="57" xfId="0" applyNumberFormat="1" applyFont="1" applyBorder="1" applyAlignment="1">
      <alignment horizontal="center" vertical="center" wrapText="1"/>
    </xf>
    <xf numFmtId="0" fontId="19" fillId="2" borderId="57" xfId="1" applyFont="1" applyFill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top" wrapText="1"/>
    </xf>
    <xf numFmtId="0" fontId="21" fillId="19" borderId="63" xfId="28" applyFont="1" applyFill="1" applyBorder="1" applyAlignment="1">
      <alignment vertical="center" wrapText="1"/>
    </xf>
    <xf numFmtId="4" fontId="19" fillId="15" borderId="57" xfId="37" applyNumberFormat="1" applyFont="1" applyFill="1" applyBorder="1" applyAlignment="1">
      <alignment horizontal="center" vertical="top"/>
    </xf>
    <xf numFmtId="49" fontId="27" fillId="7" borderId="57" xfId="37" applyNumberFormat="1" applyFont="1" applyFill="1" applyBorder="1" applyAlignment="1">
      <alignment horizontal="center" vertical="top" wrapText="1"/>
    </xf>
    <xf numFmtId="0" fontId="19" fillId="2" borderId="64" xfId="28" applyFont="1" applyFill="1" applyBorder="1" applyAlignment="1">
      <alignment vertical="center" wrapText="1"/>
    </xf>
    <xf numFmtId="0" fontId="19" fillId="2" borderId="65" xfId="1" applyFont="1" applyFill="1" applyBorder="1" applyAlignment="1">
      <alignment horizontal="center" vertical="top" wrapText="1"/>
    </xf>
    <xf numFmtId="4" fontId="19" fillId="8" borderId="65" xfId="37" applyNumberFormat="1" applyFont="1" applyFill="1" applyBorder="1" applyAlignment="1">
      <alignment horizontal="center" vertical="top"/>
    </xf>
    <xf numFmtId="49" fontId="27" fillId="0" borderId="66" xfId="37" applyNumberFormat="1" applyFont="1" applyBorder="1" applyAlignment="1">
      <alignment horizontal="center" vertical="top" wrapText="1"/>
    </xf>
    <xf numFmtId="0" fontId="36" fillId="0" borderId="65" xfId="0" applyFont="1" applyFill="1" applyBorder="1" applyAlignment="1">
      <alignment horizontal="center" vertical="top"/>
    </xf>
    <xf numFmtId="0" fontId="21" fillId="17" borderId="69" xfId="37" applyFont="1" applyFill="1" applyBorder="1" applyAlignment="1">
      <alignment horizontal="left" vertical="top"/>
    </xf>
    <xf numFmtId="0" fontId="21" fillId="17" borderId="67" xfId="0" applyFont="1" applyFill="1" applyBorder="1" applyAlignment="1">
      <alignment horizontal="center" vertical="top"/>
    </xf>
    <xf numFmtId="4" fontId="21" fillId="17" borderId="67" xfId="0" applyNumberFormat="1" applyFont="1" applyFill="1" applyBorder="1" applyAlignment="1">
      <alignment horizontal="center" vertical="top"/>
    </xf>
    <xf numFmtId="0" fontId="21" fillId="17" borderId="68" xfId="0" applyFont="1" applyFill="1" applyBorder="1" applyAlignment="1">
      <alignment horizontal="center" vertical="top"/>
    </xf>
    <xf numFmtId="0" fontId="21" fillId="7" borderId="65" xfId="1" applyFont="1" applyFill="1" applyBorder="1" applyAlignment="1">
      <alignment horizontal="left" vertical="top" wrapText="1"/>
    </xf>
    <xf numFmtId="0" fontId="21" fillId="7" borderId="65" xfId="1" applyFont="1" applyFill="1" applyBorder="1" applyAlignment="1">
      <alignment horizontal="center" vertical="top" wrapText="1"/>
    </xf>
    <xf numFmtId="4" fontId="21" fillId="15" borderId="65" xfId="37" applyNumberFormat="1" applyFont="1" applyFill="1" applyBorder="1" applyAlignment="1">
      <alignment horizontal="center" vertical="top"/>
    </xf>
    <xf numFmtId="4" fontId="21" fillId="7" borderId="65" xfId="68" applyNumberFormat="1" applyFont="1" applyFill="1" applyBorder="1" applyAlignment="1">
      <alignment horizontal="center" vertical="top" wrapText="1"/>
    </xf>
    <xf numFmtId="0" fontId="27" fillId="15" borderId="66" xfId="37" applyFont="1" applyFill="1" applyBorder="1" applyAlignment="1">
      <alignment horizontal="center" vertical="top" wrapText="1"/>
    </xf>
    <xf numFmtId="0" fontId="19" fillId="2" borderId="65" xfId="1" applyFont="1" applyFill="1" applyBorder="1" applyAlignment="1">
      <alignment horizontal="left" vertical="top" wrapText="1"/>
    </xf>
    <xf numFmtId="0" fontId="19" fillId="7" borderId="65" xfId="1" applyFont="1" applyFill="1" applyBorder="1" applyAlignment="1">
      <alignment horizontal="center" vertical="top" wrapText="1"/>
    </xf>
    <xf numFmtId="0" fontId="19" fillId="0" borderId="65" xfId="1" applyFont="1" applyBorder="1" applyAlignment="1">
      <alignment horizontal="left" vertical="top" wrapText="1"/>
    </xf>
    <xf numFmtId="168" fontId="19" fillId="8" borderId="65" xfId="37" applyNumberFormat="1" applyFont="1" applyFill="1" applyBorder="1" applyAlignment="1">
      <alignment horizontal="center" vertical="top"/>
    </xf>
    <xf numFmtId="49" fontId="27" fillId="2" borderId="66" xfId="37" applyNumberFormat="1" applyFont="1" applyFill="1" applyBorder="1" applyAlignment="1">
      <alignment horizontal="center" vertical="top" wrapText="1"/>
    </xf>
    <xf numFmtId="2" fontId="19" fillId="0" borderId="65" xfId="38" applyNumberFormat="1" applyFont="1" applyBorder="1" applyAlignment="1">
      <alignment horizontal="center" vertical="top"/>
    </xf>
    <xf numFmtId="2" fontId="19" fillId="0" borderId="65" xfId="0" applyNumberFormat="1" applyFont="1" applyBorder="1" applyAlignment="1">
      <alignment horizontal="center" vertical="top" wrapText="1"/>
    </xf>
    <xf numFmtId="2" fontId="19" fillId="0" borderId="65" xfId="38" applyNumberFormat="1" applyFont="1" applyBorder="1" applyAlignment="1">
      <alignment horizontal="center" vertical="top" wrapText="1"/>
    </xf>
    <xf numFmtId="0" fontId="19" fillId="0" borderId="65" xfId="38" applyFont="1" applyBorder="1" applyAlignment="1">
      <alignment horizontal="center" vertical="top"/>
    </xf>
    <xf numFmtId="4" fontId="19" fillId="0" borderId="65" xfId="37" applyNumberFormat="1" applyFont="1" applyBorder="1" applyAlignment="1">
      <alignment horizontal="center" vertical="top"/>
    </xf>
    <xf numFmtId="0" fontId="31" fillId="0" borderId="35" xfId="0" applyFont="1" applyFill="1" applyBorder="1" applyAlignment="1">
      <alignment horizontal="center" vertical="center"/>
    </xf>
    <xf numFmtId="2" fontId="38" fillId="14" borderId="5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6" fillId="0" borderId="70" xfId="0" applyFont="1" applyFill="1" applyBorder="1" applyAlignment="1">
      <alignment horizontal="center" vertical="top"/>
    </xf>
    <xf numFmtId="0" fontId="19" fillId="0" borderId="70" xfId="1" applyFont="1" applyBorder="1" applyAlignment="1">
      <alignment horizontal="left" vertical="top" wrapText="1"/>
    </xf>
    <xf numFmtId="4" fontId="19" fillId="8" borderId="70" xfId="37" applyNumberFormat="1" applyFont="1" applyFill="1" applyBorder="1" applyAlignment="1">
      <alignment horizontal="center" vertical="top"/>
    </xf>
    <xf numFmtId="49" fontId="27" fillId="2" borderId="71" xfId="37" applyNumberFormat="1" applyFont="1" applyFill="1" applyBorder="1" applyAlignment="1">
      <alignment horizontal="center" vertical="top" wrapText="1"/>
    </xf>
    <xf numFmtId="0" fontId="3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horizontal="center" vertical="center"/>
    </xf>
    <xf numFmtId="0" fontId="37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/>
    </xf>
    <xf numFmtId="0" fontId="37" fillId="0" borderId="0" xfId="0" applyFont="1" applyFill="1"/>
    <xf numFmtId="4" fontId="37" fillId="0" borderId="0" xfId="0" applyNumberFormat="1" applyFont="1" applyFill="1" applyAlignment="1">
      <alignment horizontal="center" vertical="center"/>
    </xf>
    <xf numFmtId="2" fontId="37" fillId="0" borderId="0" xfId="0" applyNumberFormat="1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19" fillId="0" borderId="41" xfId="37" applyFont="1" applyFill="1" applyBorder="1" applyAlignment="1">
      <alignment horizontal="center" vertical="center"/>
    </xf>
    <xf numFmtId="0" fontId="19" fillId="0" borderId="41" xfId="28" applyFont="1" applyFill="1" applyBorder="1" applyAlignment="1">
      <alignment vertical="center" wrapText="1"/>
    </xf>
    <xf numFmtId="0" fontId="19" fillId="0" borderId="56" xfId="37" applyFont="1" applyFill="1" applyBorder="1" applyAlignment="1">
      <alignment horizontal="center" vertical="center"/>
    </xf>
    <xf numFmtId="0" fontId="31" fillId="0" borderId="57" xfId="0" applyFont="1" applyFill="1" applyBorder="1" applyAlignment="1">
      <alignment horizontal="center" vertical="center"/>
    </xf>
    <xf numFmtId="0" fontId="21" fillId="7" borderId="70" xfId="1" applyFont="1" applyFill="1" applyBorder="1" applyAlignment="1">
      <alignment horizontal="left" vertical="top" wrapText="1"/>
    </xf>
    <xf numFmtId="0" fontId="19" fillId="7" borderId="70" xfId="1" applyFont="1" applyFill="1" applyBorder="1" applyAlignment="1">
      <alignment horizontal="center" vertical="top" wrapText="1"/>
    </xf>
    <xf numFmtId="4" fontId="21" fillId="15" borderId="70" xfId="37" applyNumberFormat="1" applyFont="1" applyFill="1" applyBorder="1" applyAlignment="1">
      <alignment horizontal="center" vertical="top"/>
    </xf>
    <xf numFmtId="0" fontId="27" fillId="15" borderId="71" xfId="37" applyFont="1" applyFill="1" applyBorder="1" applyAlignment="1">
      <alignment horizontal="center" vertical="top" wrapText="1"/>
    </xf>
    <xf numFmtId="0" fontId="19" fillId="2" borderId="70" xfId="1" applyFont="1" applyFill="1" applyBorder="1" applyAlignment="1">
      <alignment horizontal="center" vertical="top" wrapText="1"/>
    </xf>
    <xf numFmtId="49" fontId="27" fillId="0" borderId="71" xfId="37" applyNumberFormat="1" applyFont="1" applyBorder="1" applyAlignment="1">
      <alignment horizontal="center" vertical="top" wrapText="1"/>
    </xf>
    <xf numFmtId="168" fontId="19" fillId="8" borderId="70" xfId="37" applyNumberFormat="1" applyFont="1" applyFill="1" applyBorder="1" applyAlignment="1">
      <alignment horizontal="center" vertical="top"/>
    </xf>
    <xf numFmtId="4" fontId="19" fillId="0" borderId="70" xfId="37" applyNumberFormat="1" applyFont="1" applyBorder="1" applyAlignment="1">
      <alignment horizontal="center" vertical="top"/>
    </xf>
    <xf numFmtId="0" fontId="19" fillId="0" borderId="57" xfId="37" applyFont="1" applyFill="1" applyBorder="1" applyAlignment="1">
      <alignment horizontal="center" vertical="center"/>
    </xf>
    <xf numFmtId="168" fontId="19" fillId="0" borderId="57" xfId="37" applyNumberFormat="1" applyFont="1" applyBorder="1" applyAlignment="1">
      <alignment horizontal="center" vertical="top"/>
    </xf>
    <xf numFmtId="0" fontId="36" fillId="17" borderId="65" xfId="0" applyFont="1" applyFill="1" applyBorder="1" applyAlignment="1">
      <alignment horizontal="center" vertical="top"/>
    </xf>
    <xf numFmtId="0" fontId="36" fillId="9" borderId="65" xfId="0" applyFont="1" applyFill="1" applyBorder="1" applyAlignment="1">
      <alignment horizontal="center" vertical="top"/>
    </xf>
    <xf numFmtId="0" fontId="36" fillId="9" borderId="70" xfId="0" applyFont="1" applyFill="1" applyBorder="1" applyAlignment="1">
      <alignment horizontal="center" vertical="top"/>
    </xf>
    <xf numFmtId="0" fontId="36" fillId="17" borderId="70" xfId="0" applyFont="1" applyFill="1" applyBorder="1" applyAlignment="1">
      <alignment horizontal="center" vertical="top"/>
    </xf>
    <xf numFmtId="0" fontId="36" fillId="0" borderId="57" xfId="0" applyFont="1" applyFill="1" applyBorder="1" applyAlignment="1">
      <alignment horizontal="center" vertical="top"/>
    </xf>
    <xf numFmtId="0" fontId="36" fillId="0" borderId="56" xfId="0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1" fillId="0" borderId="29" xfId="0" applyFont="1" applyFill="1" applyBorder="1" applyAlignment="1">
      <alignment horizontal="center" vertical="center" wrapText="1"/>
    </xf>
    <xf numFmtId="2" fontId="31" fillId="0" borderId="29" xfId="0" applyNumberFormat="1" applyFont="1" applyFill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/>
    </xf>
    <xf numFmtId="0" fontId="30" fillId="0" borderId="29" xfId="0" applyFont="1" applyFill="1" applyBorder="1" applyAlignment="1">
      <alignment horizontal="center" vertical="center"/>
    </xf>
    <xf numFmtId="0" fontId="31" fillId="0" borderId="29" xfId="0" applyFont="1" applyFill="1" applyBorder="1" applyAlignment="1">
      <alignment horizontal="center" vertical="center"/>
    </xf>
    <xf numFmtId="0" fontId="31" fillId="0" borderId="29" xfId="0" applyFont="1" applyFill="1" applyBorder="1"/>
    <xf numFmtId="164" fontId="31" fillId="0" borderId="29" xfId="68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62" xfId="0" applyFont="1" applyFill="1" applyBorder="1" applyAlignment="1">
      <alignment horizontal="center" vertical="center" wrapText="1"/>
    </xf>
    <xf numFmtId="0" fontId="31" fillId="0" borderId="62" xfId="0" applyFont="1" applyFill="1" applyBorder="1" applyAlignment="1">
      <alignment vertical="center"/>
    </xf>
    <xf numFmtId="0" fontId="31" fillId="0" borderId="62" xfId="0" applyFont="1" applyFill="1" applyBorder="1" applyAlignment="1">
      <alignment horizontal="center" vertical="center"/>
    </xf>
    <xf numFmtId="167" fontId="0" fillId="0" borderId="0" xfId="0" applyNumberFormat="1" applyFill="1"/>
    <xf numFmtId="0" fontId="5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horizontal="center"/>
    </xf>
    <xf numFmtId="2" fontId="37" fillId="0" borderId="0" xfId="0" applyNumberFormat="1" applyFont="1" applyFill="1" applyAlignment="1">
      <alignment horizont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" fontId="0" fillId="0" borderId="0" xfId="0" applyNumberFormat="1" applyFill="1"/>
    <xf numFmtId="4" fontId="37" fillId="0" borderId="0" xfId="0" applyNumberFormat="1" applyFont="1" applyFill="1"/>
    <xf numFmtId="2" fontId="6" fillId="0" borderId="0" xfId="0" applyNumberFormat="1" applyFont="1" applyFill="1" applyAlignment="1">
      <alignment horizontal="center" vertical="center"/>
    </xf>
    <xf numFmtId="49" fontId="0" fillId="0" borderId="0" xfId="0" applyNumberFormat="1" applyFill="1"/>
    <xf numFmtId="0" fontId="2" fillId="0" borderId="0" xfId="0" applyFont="1" applyFill="1" applyAlignment="1">
      <alignment vertical="center"/>
    </xf>
    <xf numFmtId="2" fontId="38" fillId="14" borderId="57" xfId="0" applyNumberFormat="1" applyFont="1" applyFill="1" applyBorder="1" applyAlignment="1">
      <alignment vertical="center"/>
    </xf>
    <xf numFmtId="164" fontId="38" fillId="14" borderId="57" xfId="0" applyNumberFormat="1" applyFont="1" applyFill="1" applyBorder="1" applyAlignment="1">
      <alignment horizontal="right" vertical="center"/>
    </xf>
    <xf numFmtId="0" fontId="19" fillId="2" borderId="70" xfId="1" applyFont="1" applyFill="1" applyBorder="1" applyAlignment="1">
      <alignment horizontal="left" vertical="top" wrapText="1"/>
    </xf>
    <xf numFmtId="2" fontId="19" fillId="0" borderId="70" xfId="38" applyNumberFormat="1" applyFont="1" applyBorder="1" applyAlignment="1">
      <alignment horizontal="center" vertical="top"/>
    </xf>
    <xf numFmtId="4" fontId="19" fillId="0" borderId="72" xfId="28" applyNumberFormat="1" applyFont="1" applyBorder="1" applyAlignment="1">
      <alignment horizontal="center" vertical="top" wrapText="1"/>
    </xf>
    <xf numFmtId="0" fontId="19" fillId="2" borderId="70" xfId="28" applyFont="1" applyFill="1" applyBorder="1" applyAlignment="1">
      <alignment vertical="center" wrapText="1"/>
    </xf>
    <xf numFmtId="2" fontId="34" fillId="2" borderId="70" xfId="38" applyNumberFormat="1" applyFont="1" applyFill="1" applyBorder="1" applyAlignment="1">
      <alignment horizontal="center" vertical="center"/>
    </xf>
    <xf numFmtId="0" fontId="19" fillId="8" borderId="70" xfId="37" applyFont="1" applyFill="1" applyBorder="1" applyAlignment="1">
      <alignment horizontal="center" vertical="center"/>
    </xf>
    <xf numFmtId="0" fontId="21" fillId="17" borderId="76" xfId="37" applyFont="1" applyFill="1" applyBorder="1" applyAlignment="1">
      <alignment horizontal="left" vertical="top"/>
    </xf>
    <xf numFmtId="0" fontId="21" fillId="17" borderId="74" xfId="0" applyFont="1" applyFill="1" applyBorder="1" applyAlignment="1">
      <alignment horizontal="center" vertical="top"/>
    </xf>
    <xf numFmtId="4" fontId="21" fillId="17" borderId="74" xfId="0" applyNumberFormat="1" applyFont="1" applyFill="1" applyBorder="1" applyAlignment="1">
      <alignment horizontal="center" vertical="top"/>
    </xf>
    <xf numFmtId="0" fontId="21" fillId="17" borderId="75" xfId="0" applyFont="1" applyFill="1" applyBorder="1" applyAlignment="1">
      <alignment horizontal="center" vertical="top"/>
    </xf>
    <xf numFmtId="0" fontId="41" fillId="7" borderId="70" xfId="1" applyFont="1" applyFill="1" applyBorder="1" applyAlignment="1">
      <alignment horizontal="left" vertical="top" wrapText="1"/>
    </xf>
    <xf numFmtId="0" fontId="21" fillId="7" borderId="70" xfId="1" applyFont="1" applyFill="1" applyBorder="1" applyAlignment="1">
      <alignment horizontal="center" vertical="top" wrapText="1"/>
    </xf>
    <xf numFmtId="0" fontId="19" fillId="2" borderId="73" xfId="1" applyFont="1" applyFill="1" applyBorder="1" applyAlignment="1">
      <alignment horizontal="center" vertical="top" wrapText="1"/>
    </xf>
    <xf numFmtId="4" fontId="19" fillId="0" borderId="77" xfId="68" applyNumberFormat="1" applyFont="1" applyBorder="1" applyAlignment="1">
      <alignment horizontal="center" vertical="top" wrapText="1"/>
    </xf>
    <xf numFmtId="0" fontId="27" fillId="8" borderId="71" xfId="37" applyFont="1" applyFill="1" applyBorder="1" applyAlignment="1">
      <alignment horizontal="center" vertical="top" wrapText="1"/>
    </xf>
    <xf numFmtId="4" fontId="19" fillId="0" borderId="78" xfId="28" applyNumberFormat="1" applyFont="1" applyBorder="1" applyAlignment="1">
      <alignment horizontal="center" vertical="top" wrapText="1"/>
    </xf>
    <xf numFmtId="0" fontId="36" fillId="17" borderId="56" xfId="0" applyFont="1" applyFill="1" applyBorder="1" applyAlignment="1">
      <alignment horizontal="center" vertical="top"/>
    </xf>
    <xf numFmtId="0" fontId="21" fillId="7" borderId="41" xfId="1" applyFont="1" applyFill="1" applyBorder="1" applyAlignment="1">
      <alignment horizontal="center" vertical="top" wrapText="1"/>
    </xf>
    <xf numFmtId="4" fontId="19" fillId="0" borderId="79" xfId="68" applyNumberFormat="1" applyFont="1" applyBorder="1" applyAlignment="1">
      <alignment horizontal="center" vertical="top" wrapText="1"/>
    </xf>
    <xf numFmtId="49" fontId="27" fillId="0" borderId="80" xfId="37" applyNumberFormat="1" applyFont="1" applyBorder="1" applyAlignment="1">
      <alignment horizontal="center" vertical="top" wrapText="1"/>
    </xf>
    <xf numFmtId="4" fontId="19" fillId="0" borderId="81" xfId="68" applyNumberFormat="1" applyFont="1" applyBorder="1" applyAlignment="1">
      <alignment horizontal="center" vertical="top" wrapText="1"/>
    </xf>
    <xf numFmtId="4" fontId="19" fillId="0" borderId="82" xfId="28" applyNumberFormat="1" applyFont="1" applyBorder="1" applyAlignment="1">
      <alignment horizontal="center" vertical="top" wrapText="1"/>
    </xf>
    <xf numFmtId="0" fontId="19" fillId="2" borderId="78" xfId="28" applyFont="1" applyFill="1" applyBorder="1" applyAlignment="1">
      <alignment vertical="center" wrapText="1"/>
    </xf>
    <xf numFmtId="0" fontId="19" fillId="2" borderId="83" xfId="28" applyFont="1" applyFill="1" applyBorder="1" applyAlignment="1">
      <alignment vertical="center" wrapText="1"/>
    </xf>
    <xf numFmtId="0" fontId="19" fillId="2" borderId="84" xfId="1" applyFont="1" applyFill="1" applyBorder="1" applyAlignment="1">
      <alignment horizontal="center" vertical="top" wrapText="1"/>
    </xf>
    <xf numFmtId="4" fontId="19" fillId="8" borderId="84" xfId="37" applyNumberFormat="1" applyFont="1" applyFill="1" applyBorder="1" applyAlignment="1">
      <alignment horizontal="center" vertical="top"/>
    </xf>
    <xf numFmtId="2" fontId="19" fillId="2" borderId="83" xfId="28" applyNumberFormat="1" applyFont="1" applyFill="1" applyBorder="1" applyAlignment="1">
      <alignment horizontal="center" vertical="center" wrapText="1"/>
    </xf>
    <xf numFmtId="49" fontId="27" fillId="0" borderId="85" xfId="37" applyNumberFormat="1" applyFont="1" applyBorder="1" applyAlignment="1">
      <alignment horizontal="center" vertical="top" wrapText="1"/>
    </xf>
    <xf numFmtId="0" fontId="19" fillId="2" borderId="86" xfId="28" applyFont="1" applyFill="1" applyBorder="1" applyAlignment="1">
      <alignment vertical="center" wrapText="1"/>
    </xf>
    <xf numFmtId="0" fontId="19" fillId="2" borderId="87" xfId="1" applyFont="1" applyFill="1" applyBorder="1" applyAlignment="1">
      <alignment horizontal="center" vertical="top" wrapText="1"/>
    </xf>
    <xf numFmtId="4" fontId="19" fillId="8" borderId="87" xfId="37" applyNumberFormat="1" applyFont="1" applyFill="1" applyBorder="1" applyAlignment="1">
      <alignment horizontal="center" vertical="top"/>
    </xf>
    <xf numFmtId="2" fontId="19" fillId="2" borderId="86" xfId="28" applyNumberFormat="1" applyFont="1" applyFill="1" applyBorder="1" applyAlignment="1">
      <alignment horizontal="center" vertical="center" wrapText="1"/>
    </xf>
    <xf numFmtId="49" fontId="27" fillId="0" borderId="88" xfId="37" applyNumberFormat="1" applyFont="1" applyBorder="1" applyAlignment="1">
      <alignment horizontal="center" vertical="top" wrapText="1"/>
    </xf>
    <xf numFmtId="0" fontId="19" fillId="2" borderId="89" xfId="28" applyFont="1" applyFill="1" applyBorder="1" applyAlignment="1">
      <alignment vertical="center" wrapText="1"/>
    </xf>
    <xf numFmtId="0" fontId="19" fillId="2" borderId="90" xfId="1" applyFont="1" applyFill="1" applyBorder="1" applyAlignment="1">
      <alignment horizontal="center" vertical="top" wrapText="1"/>
    </xf>
    <xf numFmtId="4" fontId="19" fillId="8" borderId="90" xfId="37" applyNumberFormat="1" applyFont="1" applyFill="1" applyBorder="1" applyAlignment="1">
      <alignment horizontal="center" vertical="top"/>
    </xf>
    <xf numFmtId="2" fontId="19" fillId="2" borderId="89" xfId="28" applyNumberFormat="1" applyFont="1" applyFill="1" applyBorder="1" applyAlignment="1">
      <alignment horizontal="center" vertical="center" wrapText="1"/>
    </xf>
    <xf numFmtId="49" fontId="27" fillId="0" borderId="91" xfId="37" applyNumberFormat="1" applyFont="1" applyBorder="1" applyAlignment="1">
      <alignment horizontal="center" vertical="top" wrapText="1"/>
    </xf>
    <xf numFmtId="0" fontId="19" fillId="2" borderId="92" xfId="28" applyFont="1" applyFill="1" applyBorder="1" applyAlignment="1">
      <alignment vertical="center" wrapText="1"/>
    </xf>
    <xf numFmtId="0" fontId="19" fillId="2" borderId="93" xfId="1" applyFont="1" applyFill="1" applyBorder="1" applyAlignment="1">
      <alignment horizontal="center" vertical="top" wrapText="1"/>
    </xf>
    <xf numFmtId="4" fontId="19" fillId="8" borderId="93" xfId="37" applyNumberFormat="1" applyFont="1" applyFill="1" applyBorder="1" applyAlignment="1">
      <alignment horizontal="center" vertical="top"/>
    </xf>
    <xf numFmtId="2" fontId="19" fillId="2" borderId="92" xfId="28" applyNumberFormat="1" applyFont="1" applyFill="1" applyBorder="1" applyAlignment="1">
      <alignment horizontal="center" vertical="center" wrapText="1"/>
    </xf>
    <xf numFmtId="49" fontId="27" fillId="0" borderId="94" xfId="37" applyNumberFormat="1" applyFont="1" applyBorder="1" applyAlignment="1">
      <alignment horizontal="center" vertical="top" wrapText="1"/>
    </xf>
    <xf numFmtId="0" fontId="19" fillId="2" borderId="95" xfId="28" applyFont="1" applyFill="1" applyBorder="1" applyAlignment="1">
      <alignment vertical="center" wrapText="1"/>
    </xf>
    <xf numFmtId="0" fontId="19" fillId="2" borderId="96" xfId="1" applyFont="1" applyFill="1" applyBorder="1" applyAlignment="1">
      <alignment horizontal="center" vertical="top" wrapText="1"/>
    </xf>
    <xf numFmtId="4" fontId="19" fillId="8" borderId="96" xfId="37" applyNumberFormat="1" applyFont="1" applyFill="1" applyBorder="1" applyAlignment="1">
      <alignment horizontal="center" vertical="top"/>
    </xf>
    <xf numFmtId="2" fontId="19" fillId="2" borderId="95" xfId="28" applyNumberFormat="1" applyFont="1" applyFill="1" applyBorder="1" applyAlignment="1">
      <alignment horizontal="center" vertical="center" wrapText="1"/>
    </xf>
    <xf numFmtId="49" fontId="27" fillId="0" borderId="97" xfId="37" applyNumberFormat="1" applyFont="1" applyBorder="1" applyAlignment="1">
      <alignment horizontal="center" vertical="top" wrapText="1"/>
    </xf>
    <xf numFmtId="0" fontId="36" fillId="0" borderId="96" xfId="0" applyFont="1" applyFill="1" applyBorder="1" applyAlignment="1">
      <alignment horizontal="center" vertical="top"/>
    </xf>
    <xf numFmtId="0" fontId="21" fillId="17" borderId="100" xfId="37" applyFont="1" applyFill="1" applyBorder="1" applyAlignment="1">
      <alignment horizontal="left" vertical="top"/>
    </xf>
    <xf numFmtId="0" fontId="21" fillId="17" borderId="98" xfId="0" applyFont="1" applyFill="1" applyBorder="1" applyAlignment="1">
      <alignment horizontal="center" vertical="top"/>
    </xf>
    <xf numFmtId="4" fontId="21" fillId="17" borderId="98" xfId="0" applyNumberFormat="1" applyFont="1" applyFill="1" applyBorder="1" applyAlignment="1">
      <alignment horizontal="center" vertical="top"/>
    </xf>
    <xf numFmtId="0" fontId="21" fillId="17" borderId="99" xfId="0" applyFont="1" applyFill="1" applyBorder="1" applyAlignment="1">
      <alignment horizontal="center" vertical="top"/>
    </xf>
    <xf numFmtId="0" fontId="41" fillId="7" borderId="96" xfId="1" applyFont="1" applyFill="1" applyBorder="1" applyAlignment="1">
      <alignment horizontal="left" vertical="top" wrapText="1"/>
    </xf>
    <xf numFmtId="0" fontId="21" fillId="7" borderId="96" xfId="1" applyFont="1" applyFill="1" applyBorder="1" applyAlignment="1">
      <alignment horizontal="center" vertical="top" wrapText="1"/>
    </xf>
    <xf numFmtId="4" fontId="21" fillId="15" borderId="96" xfId="37" applyNumberFormat="1" applyFont="1" applyFill="1" applyBorder="1" applyAlignment="1">
      <alignment horizontal="center" vertical="top"/>
    </xf>
    <xf numFmtId="0" fontId="27" fillId="15" borderId="97" xfId="37" applyFont="1" applyFill="1" applyBorder="1" applyAlignment="1">
      <alignment horizontal="center" vertical="top" wrapText="1"/>
    </xf>
    <xf numFmtId="0" fontId="19" fillId="0" borderId="96" xfId="1" applyFont="1" applyBorder="1" applyAlignment="1">
      <alignment horizontal="left" vertical="top" wrapText="1"/>
    </xf>
    <xf numFmtId="0" fontId="19" fillId="2" borderId="101" xfId="1" applyFont="1" applyFill="1" applyBorder="1" applyAlignment="1">
      <alignment horizontal="center" vertical="top" wrapText="1"/>
    </xf>
    <xf numFmtId="0" fontId="27" fillId="8" borderId="97" xfId="37" applyFont="1" applyFill="1" applyBorder="1" applyAlignment="1">
      <alignment horizontal="center" vertical="top" wrapText="1"/>
    </xf>
    <xf numFmtId="0" fontId="36" fillId="17" borderId="96" xfId="0" applyFont="1" applyFill="1" applyBorder="1" applyAlignment="1">
      <alignment horizontal="center" vertical="top"/>
    </xf>
    <xf numFmtId="0" fontId="19" fillId="2" borderId="96" xfId="1" applyFont="1" applyFill="1" applyBorder="1" applyAlignment="1">
      <alignment horizontal="left" vertical="top" wrapText="1"/>
    </xf>
    <xf numFmtId="2" fontId="19" fillId="0" borderId="96" xfId="38" applyNumberFormat="1" applyFont="1" applyBorder="1" applyAlignment="1">
      <alignment horizontal="center" vertical="top"/>
    </xf>
    <xf numFmtId="4" fontId="19" fillId="0" borderId="102" xfId="28" applyNumberFormat="1" applyFont="1" applyBorder="1" applyAlignment="1">
      <alignment horizontal="center" vertical="top" wrapText="1"/>
    </xf>
    <xf numFmtId="0" fontId="19" fillId="2" borderId="96" xfId="28" applyFont="1" applyFill="1" applyBorder="1" applyAlignment="1">
      <alignment vertical="center" wrapText="1"/>
    </xf>
    <xf numFmtId="0" fontId="21" fillId="7" borderId="96" xfId="1" applyFont="1" applyFill="1" applyBorder="1" applyAlignment="1">
      <alignment horizontal="left" vertical="top" wrapText="1"/>
    </xf>
    <xf numFmtId="49" fontId="27" fillId="2" borderId="97" xfId="37" applyNumberFormat="1" applyFont="1" applyFill="1" applyBorder="1" applyAlignment="1">
      <alignment horizontal="center" vertical="top" wrapText="1"/>
    </xf>
    <xf numFmtId="2" fontId="34" fillId="2" borderId="96" xfId="38" applyNumberFormat="1" applyFont="1" applyFill="1" applyBorder="1" applyAlignment="1">
      <alignment horizontal="center" vertical="center"/>
    </xf>
    <xf numFmtId="0" fontId="19" fillId="8" borderId="96" xfId="37" applyFont="1" applyFill="1" applyBorder="1" applyAlignment="1">
      <alignment horizontal="center" vertical="center"/>
    </xf>
    <xf numFmtId="168" fontId="19" fillId="8" borderId="96" xfId="37" applyNumberFormat="1" applyFont="1" applyFill="1" applyBorder="1" applyAlignment="1">
      <alignment horizontal="center" vertical="top"/>
    </xf>
    <xf numFmtId="0" fontId="21" fillId="17" borderId="103" xfId="0" applyFont="1" applyFill="1" applyBorder="1" applyAlignment="1">
      <alignment horizontal="center" vertical="top"/>
    </xf>
    <xf numFmtId="4" fontId="21" fillId="17" borderId="103" xfId="0" applyNumberFormat="1" applyFont="1" applyFill="1" applyBorder="1" applyAlignment="1">
      <alignment horizontal="center" vertical="top"/>
    </xf>
    <xf numFmtId="0" fontId="21" fillId="17" borderId="104" xfId="0" applyFont="1" applyFill="1" applyBorder="1" applyAlignment="1">
      <alignment horizontal="center" vertical="top"/>
    </xf>
    <xf numFmtId="0" fontId="19" fillId="2" borderId="105" xfId="1" applyFont="1" applyFill="1" applyBorder="1" applyAlignment="1">
      <alignment horizontal="center" vertical="top" wrapText="1"/>
    </xf>
    <xf numFmtId="4" fontId="19" fillId="0" borderId="106" xfId="28" applyNumberFormat="1" applyFont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9" fillId="2" borderId="107" xfId="1" applyFont="1" applyFill="1" applyBorder="1" applyAlignment="1">
      <alignment horizontal="left" vertical="top" wrapText="1"/>
    </xf>
    <xf numFmtId="0" fontId="19" fillId="0" borderId="107" xfId="1" applyFont="1" applyBorder="1" applyAlignment="1">
      <alignment horizontal="left" vertical="top" wrapText="1"/>
    </xf>
    <xf numFmtId="0" fontId="19" fillId="2" borderId="107" xfId="1" applyFont="1" applyFill="1" applyBorder="1" applyAlignment="1">
      <alignment horizontal="center" vertical="top" wrapText="1"/>
    </xf>
    <xf numFmtId="4" fontId="19" fillId="8" borderId="107" xfId="37" applyNumberFormat="1" applyFont="1" applyFill="1" applyBorder="1" applyAlignment="1">
      <alignment horizontal="center" vertical="top"/>
    </xf>
    <xf numFmtId="2" fontId="19" fillId="0" borderId="107" xfId="38" applyNumberFormat="1" applyFont="1" applyBorder="1" applyAlignment="1">
      <alignment horizontal="center" vertical="top"/>
    </xf>
    <xf numFmtId="49" fontId="27" fillId="2" borderId="108" xfId="37" applyNumberFormat="1" applyFont="1" applyFill="1" applyBorder="1" applyAlignment="1">
      <alignment horizontal="center" vertical="top" wrapText="1"/>
    </xf>
    <xf numFmtId="49" fontId="27" fillId="0" borderId="108" xfId="37" applyNumberFormat="1" applyFont="1" applyBorder="1" applyAlignment="1">
      <alignment horizontal="center" vertical="top" wrapText="1"/>
    </xf>
    <xf numFmtId="0" fontId="21" fillId="7" borderId="107" xfId="1" applyFont="1" applyFill="1" applyBorder="1" applyAlignment="1">
      <alignment horizontal="left" vertical="top" wrapText="1"/>
    </xf>
    <xf numFmtId="0" fontId="21" fillId="7" borderId="107" xfId="1" applyFont="1" applyFill="1" applyBorder="1" applyAlignment="1">
      <alignment horizontal="center" vertical="top" wrapText="1"/>
    </xf>
    <xf numFmtId="4" fontId="21" fillId="15" borderId="107" xfId="37" applyNumberFormat="1" applyFont="1" applyFill="1" applyBorder="1" applyAlignment="1">
      <alignment horizontal="center" vertical="top"/>
    </xf>
    <xf numFmtId="0" fontId="27" fillId="15" borderId="108" xfId="37" applyFont="1" applyFill="1" applyBorder="1" applyAlignment="1">
      <alignment horizontal="center" vertical="top" wrapText="1"/>
    </xf>
    <xf numFmtId="168" fontId="19" fillId="8" borderId="107" xfId="37" applyNumberFormat="1" applyFont="1" applyFill="1" applyBorder="1" applyAlignment="1">
      <alignment horizontal="center" vertical="top"/>
    </xf>
    <xf numFmtId="0" fontId="19" fillId="2" borderId="107" xfId="28" applyFont="1" applyFill="1" applyBorder="1" applyAlignment="1">
      <alignment vertical="center" wrapText="1"/>
    </xf>
    <xf numFmtId="0" fontId="19" fillId="2" borderId="109" xfId="28" applyFont="1" applyFill="1" applyBorder="1" applyAlignment="1">
      <alignment vertical="center" wrapText="1"/>
    </xf>
    <xf numFmtId="0" fontId="19" fillId="2" borderId="110" xfId="28" applyFont="1" applyFill="1" applyBorder="1" applyAlignment="1">
      <alignment vertical="center" wrapText="1"/>
    </xf>
    <xf numFmtId="0" fontId="19" fillId="2" borderId="111" xfId="1" applyFont="1" applyFill="1" applyBorder="1" applyAlignment="1">
      <alignment horizontal="center" vertical="top" wrapText="1"/>
    </xf>
    <xf numFmtId="4" fontId="19" fillId="8" borderId="111" xfId="37" applyNumberFormat="1" applyFont="1" applyFill="1" applyBorder="1" applyAlignment="1">
      <alignment horizontal="center" vertical="top"/>
    </xf>
    <xf numFmtId="2" fontId="19" fillId="2" borderId="110" xfId="28" applyNumberFormat="1" applyFont="1" applyFill="1" applyBorder="1" applyAlignment="1">
      <alignment horizontal="center" vertical="center" wrapText="1"/>
    </xf>
    <xf numFmtId="49" fontId="27" fillId="0" borderId="112" xfId="37" applyNumberFormat="1" applyFont="1" applyBorder="1" applyAlignment="1">
      <alignment horizontal="center" vertical="top" wrapText="1"/>
    </xf>
    <xf numFmtId="0" fontId="19" fillId="2" borderId="113" xfId="28" applyFont="1" applyFill="1" applyBorder="1" applyAlignment="1">
      <alignment vertical="center" wrapText="1"/>
    </xf>
    <xf numFmtId="0" fontId="19" fillId="2" borderId="114" xfId="1" applyFont="1" applyFill="1" applyBorder="1" applyAlignment="1">
      <alignment horizontal="center" vertical="top" wrapText="1"/>
    </xf>
    <xf numFmtId="4" fontId="19" fillId="8" borderId="114" xfId="37" applyNumberFormat="1" applyFont="1" applyFill="1" applyBorder="1" applyAlignment="1">
      <alignment horizontal="center" vertical="top"/>
    </xf>
    <xf numFmtId="2" fontId="19" fillId="2" borderId="113" xfId="28" applyNumberFormat="1" applyFont="1" applyFill="1" applyBorder="1" applyAlignment="1">
      <alignment horizontal="center" vertical="center" wrapText="1"/>
    </xf>
    <xf numFmtId="49" fontId="27" fillId="0" borderId="115" xfId="37" applyNumberFormat="1" applyFont="1" applyBorder="1" applyAlignment="1">
      <alignment horizontal="center" vertical="top" wrapText="1"/>
    </xf>
    <xf numFmtId="0" fontId="19" fillId="2" borderId="116" xfId="28" applyFont="1" applyFill="1" applyBorder="1" applyAlignment="1">
      <alignment vertical="center" wrapText="1"/>
    </xf>
    <xf numFmtId="0" fontId="19" fillId="2" borderId="117" xfId="1" applyFont="1" applyFill="1" applyBorder="1" applyAlignment="1">
      <alignment horizontal="center" vertical="top" wrapText="1"/>
    </xf>
    <xf numFmtId="4" fontId="19" fillId="8" borderId="117" xfId="37" applyNumberFormat="1" applyFont="1" applyFill="1" applyBorder="1" applyAlignment="1">
      <alignment horizontal="center" vertical="top"/>
    </xf>
    <xf numFmtId="2" fontId="19" fillId="2" borderId="116" xfId="28" applyNumberFormat="1" applyFont="1" applyFill="1" applyBorder="1" applyAlignment="1">
      <alignment horizontal="center" vertical="center" wrapText="1"/>
    </xf>
    <xf numFmtId="49" fontId="27" fillId="0" borderId="118" xfId="37" applyNumberFormat="1" applyFont="1" applyBorder="1" applyAlignment="1">
      <alignment horizontal="center" vertical="top" wrapText="1"/>
    </xf>
    <xf numFmtId="0" fontId="19" fillId="2" borderId="119" xfId="28" applyFont="1" applyFill="1" applyBorder="1" applyAlignment="1">
      <alignment vertical="center" wrapText="1"/>
    </xf>
    <xf numFmtId="0" fontId="19" fillId="2" borderId="120" xfId="1" applyFont="1" applyFill="1" applyBorder="1" applyAlignment="1">
      <alignment horizontal="center" vertical="top" wrapText="1"/>
    </xf>
    <xf numFmtId="4" fontId="19" fillId="8" borderId="120" xfId="37" applyNumberFormat="1" applyFont="1" applyFill="1" applyBorder="1" applyAlignment="1">
      <alignment horizontal="center" vertical="top"/>
    </xf>
    <xf numFmtId="2" fontId="19" fillId="2" borderId="119" xfId="28" applyNumberFormat="1" applyFont="1" applyFill="1" applyBorder="1" applyAlignment="1">
      <alignment horizontal="center" vertical="center" wrapText="1"/>
    </xf>
    <xf numFmtId="49" fontId="27" fillId="0" borderId="121" xfId="37" applyNumberFormat="1" applyFont="1" applyBorder="1" applyAlignment="1">
      <alignment horizontal="center" vertical="top" wrapText="1"/>
    </xf>
    <xf numFmtId="0" fontId="19" fillId="2" borderId="122" xfId="28" applyFont="1" applyFill="1" applyBorder="1" applyAlignment="1">
      <alignment vertical="center" wrapText="1"/>
    </xf>
    <xf numFmtId="0" fontId="19" fillId="2" borderId="123" xfId="1" applyFont="1" applyFill="1" applyBorder="1" applyAlignment="1">
      <alignment horizontal="center" vertical="top" wrapText="1"/>
    </xf>
    <xf numFmtId="4" fontId="19" fillId="8" borderId="123" xfId="37" applyNumberFormat="1" applyFont="1" applyFill="1" applyBorder="1" applyAlignment="1">
      <alignment horizontal="center" vertical="top"/>
    </xf>
    <xf numFmtId="2" fontId="19" fillId="2" borderId="122" xfId="28" applyNumberFormat="1" applyFont="1" applyFill="1" applyBorder="1" applyAlignment="1">
      <alignment horizontal="center" vertical="center" wrapText="1"/>
    </xf>
    <xf numFmtId="49" fontId="27" fillId="0" borderId="124" xfId="37" applyNumberFormat="1" applyFont="1" applyBorder="1" applyAlignment="1">
      <alignment horizontal="center" vertical="top" wrapText="1"/>
    </xf>
    <xf numFmtId="0" fontId="36" fillId="0" borderId="123" xfId="0" applyFont="1" applyFill="1" applyBorder="1" applyAlignment="1">
      <alignment horizontal="center" vertical="top"/>
    </xf>
    <xf numFmtId="0" fontId="21" fillId="17" borderId="127" xfId="37" applyFont="1" applyFill="1" applyBorder="1" applyAlignment="1">
      <alignment horizontal="left" vertical="top"/>
    </xf>
    <xf numFmtId="0" fontId="21" fillId="17" borderId="125" xfId="0" applyFont="1" applyFill="1" applyBorder="1" applyAlignment="1">
      <alignment horizontal="center" vertical="top"/>
    </xf>
    <xf numFmtId="4" fontId="21" fillId="17" borderId="125" xfId="0" applyNumberFormat="1" applyFont="1" applyFill="1" applyBorder="1" applyAlignment="1">
      <alignment horizontal="center" vertical="top"/>
    </xf>
    <xf numFmtId="0" fontId="21" fillId="17" borderId="126" xfId="0" applyFont="1" applyFill="1" applyBorder="1" applyAlignment="1">
      <alignment horizontal="center" vertical="top"/>
    </xf>
    <xf numFmtId="0" fontId="41" fillId="7" borderId="123" xfId="1" applyFont="1" applyFill="1" applyBorder="1" applyAlignment="1">
      <alignment horizontal="left" vertical="top" wrapText="1"/>
    </xf>
    <xf numFmtId="0" fontId="21" fillId="7" borderId="123" xfId="1" applyFont="1" applyFill="1" applyBorder="1" applyAlignment="1">
      <alignment horizontal="center" vertical="top" wrapText="1"/>
    </xf>
    <xf numFmtId="4" fontId="21" fillId="15" borderId="123" xfId="37" applyNumberFormat="1" applyFont="1" applyFill="1" applyBorder="1" applyAlignment="1">
      <alignment horizontal="center" vertical="top"/>
    </xf>
    <xf numFmtId="0" fontId="27" fillId="15" borderId="124" xfId="37" applyFont="1" applyFill="1" applyBorder="1" applyAlignment="1">
      <alignment horizontal="center" vertical="top" wrapText="1"/>
    </xf>
    <xf numFmtId="0" fontId="19" fillId="0" borderId="123" xfId="1" applyFont="1" applyBorder="1" applyAlignment="1">
      <alignment horizontal="left" vertical="top" wrapText="1"/>
    </xf>
    <xf numFmtId="0" fontId="19" fillId="2" borderId="128" xfId="1" applyFont="1" applyFill="1" applyBorder="1" applyAlignment="1">
      <alignment horizontal="center" vertical="top" wrapText="1"/>
    </xf>
    <xf numFmtId="0" fontId="27" fillId="8" borderId="124" xfId="37" applyFont="1" applyFill="1" applyBorder="1" applyAlignment="1">
      <alignment horizontal="center" vertical="top" wrapText="1"/>
    </xf>
    <xf numFmtId="0" fontId="36" fillId="17" borderId="123" xfId="0" applyFont="1" applyFill="1" applyBorder="1" applyAlignment="1">
      <alignment horizontal="center" vertical="top"/>
    </xf>
    <xf numFmtId="0" fontId="19" fillId="2" borderId="123" xfId="1" applyFont="1" applyFill="1" applyBorder="1" applyAlignment="1">
      <alignment horizontal="left" vertical="top" wrapText="1"/>
    </xf>
    <xf numFmtId="2" fontId="19" fillId="0" borderId="123" xfId="38" applyNumberFormat="1" applyFont="1" applyBorder="1" applyAlignment="1">
      <alignment horizontal="center" vertical="top"/>
    </xf>
    <xf numFmtId="4" fontId="19" fillId="0" borderId="129" xfId="28" applyNumberFormat="1" applyFont="1" applyBorder="1" applyAlignment="1">
      <alignment horizontal="center" vertical="top" wrapText="1"/>
    </xf>
    <xf numFmtId="49" fontId="27" fillId="2" borderId="124" xfId="37" applyNumberFormat="1" applyFont="1" applyFill="1" applyBorder="1" applyAlignment="1">
      <alignment horizontal="center" vertical="top" wrapText="1"/>
    </xf>
    <xf numFmtId="2" fontId="21" fillId="7" borderId="57" xfId="0" applyNumberFormat="1" applyFont="1" applyFill="1" applyBorder="1" applyAlignment="1">
      <alignment horizontal="center" vertical="center" wrapText="1"/>
    </xf>
    <xf numFmtId="0" fontId="21" fillId="7" borderId="123" xfId="1" applyFont="1" applyFill="1" applyBorder="1" applyAlignment="1">
      <alignment horizontal="left" vertical="top" wrapText="1"/>
    </xf>
    <xf numFmtId="4" fontId="19" fillId="0" borderId="123" xfId="37" applyNumberFormat="1" applyFont="1" applyBorder="1" applyAlignment="1">
      <alignment horizontal="center" vertical="top"/>
    </xf>
    <xf numFmtId="168" fontId="19" fillId="8" borderId="123" xfId="37" applyNumberFormat="1" applyFont="1" applyFill="1" applyBorder="1" applyAlignment="1">
      <alignment horizontal="center" vertical="top"/>
    </xf>
    <xf numFmtId="0" fontId="19" fillId="2" borderId="123" xfId="28" applyFont="1" applyFill="1" applyBorder="1" applyAlignment="1">
      <alignment vertical="center" wrapText="1"/>
    </xf>
    <xf numFmtId="0" fontId="19" fillId="2" borderId="130" xfId="28" applyFont="1" applyFill="1" applyBorder="1" applyAlignment="1">
      <alignment vertical="center" wrapText="1"/>
    </xf>
    <xf numFmtId="0" fontId="19" fillId="2" borderId="131" xfId="28" applyFont="1" applyFill="1" applyBorder="1" applyAlignment="1">
      <alignment vertical="center" wrapText="1"/>
    </xf>
    <xf numFmtId="0" fontId="19" fillId="2" borderId="132" xfId="1" applyFont="1" applyFill="1" applyBorder="1" applyAlignment="1">
      <alignment horizontal="center" vertical="top" wrapText="1"/>
    </xf>
    <xf numFmtId="4" fontId="19" fillId="8" borderId="132" xfId="37" applyNumberFormat="1" applyFont="1" applyFill="1" applyBorder="1" applyAlignment="1">
      <alignment horizontal="center" vertical="top"/>
    </xf>
    <xf numFmtId="2" fontId="19" fillId="2" borderId="131" xfId="28" applyNumberFormat="1" applyFont="1" applyFill="1" applyBorder="1" applyAlignment="1">
      <alignment horizontal="center" vertical="center" wrapText="1"/>
    </xf>
    <xf numFmtId="49" fontId="27" fillId="0" borderId="133" xfId="37" applyNumberFormat="1" applyFont="1" applyBorder="1" applyAlignment="1">
      <alignment horizontal="center" vertical="top" wrapText="1"/>
    </xf>
    <xf numFmtId="0" fontId="19" fillId="2" borderId="134" xfId="28" applyFont="1" applyFill="1" applyBorder="1" applyAlignment="1">
      <alignment vertical="center" wrapText="1"/>
    </xf>
    <xf numFmtId="0" fontId="19" fillId="2" borderId="135" xfId="1" applyFont="1" applyFill="1" applyBorder="1" applyAlignment="1">
      <alignment horizontal="center" vertical="top" wrapText="1"/>
    </xf>
    <xf numFmtId="4" fontId="19" fillId="8" borderId="135" xfId="37" applyNumberFormat="1" applyFont="1" applyFill="1" applyBorder="1" applyAlignment="1">
      <alignment horizontal="center" vertical="top"/>
    </xf>
    <xf numFmtId="2" fontId="19" fillId="2" borderId="134" xfId="28" applyNumberFormat="1" applyFont="1" applyFill="1" applyBorder="1" applyAlignment="1">
      <alignment horizontal="center" vertical="center" wrapText="1"/>
    </xf>
    <xf numFmtId="49" fontId="27" fillId="0" borderId="136" xfId="37" applyNumberFormat="1" applyFont="1" applyBorder="1" applyAlignment="1">
      <alignment horizontal="center" vertical="top" wrapText="1"/>
    </xf>
    <xf numFmtId="0" fontId="19" fillId="2" borderId="137" xfId="28" applyFont="1" applyFill="1" applyBorder="1" applyAlignment="1">
      <alignment vertical="center" wrapText="1"/>
    </xf>
    <xf numFmtId="0" fontId="19" fillId="2" borderId="138" xfId="1" applyFont="1" applyFill="1" applyBorder="1" applyAlignment="1">
      <alignment horizontal="center" vertical="top" wrapText="1"/>
    </xf>
    <xf numFmtId="4" fontId="19" fillId="8" borderId="138" xfId="37" applyNumberFormat="1" applyFont="1" applyFill="1" applyBorder="1" applyAlignment="1">
      <alignment horizontal="center" vertical="top"/>
    </xf>
    <xf numFmtId="2" fontId="19" fillId="2" borderId="137" xfId="28" applyNumberFormat="1" applyFont="1" applyFill="1" applyBorder="1" applyAlignment="1">
      <alignment horizontal="center" vertical="center" wrapText="1"/>
    </xf>
    <xf numFmtId="49" fontId="27" fillId="0" borderId="139" xfId="37" applyNumberFormat="1" applyFont="1" applyBorder="1" applyAlignment="1">
      <alignment horizontal="center" vertical="top" wrapText="1"/>
    </xf>
    <xf numFmtId="0" fontId="19" fillId="2" borderId="140" xfId="28" applyFont="1" applyFill="1" applyBorder="1" applyAlignment="1">
      <alignment vertical="center" wrapText="1"/>
    </xf>
    <xf numFmtId="0" fontId="19" fillId="2" borderId="141" xfId="1" applyFont="1" applyFill="1" applyBorder="1" applyAlignment="1">
      <alignment horizontal="center" vertical="top" wrapText="1"/>
    </xf>
    <xf numFmtId="4" fontId="19" fillId="8" borderId="141" xfId="37" applyNumberFormat="1" applyFont="1" applyFill="1" applyBorder="1" applyAlignment="1">
      <alignment horizontal="center" vertical="top"/>
    </xf>
    <xf numFmtId="2" fontId="19" fillId="2" borderId="140" xfId="28" applyNumberFormat="1" applyFont="1" applyFill="1" applyBorder="1" applyAlignment="1">
      <alignment horizontal="center" vertical="center" wrapText="1"/>
    </xf>
    <xf numFmtId="4" fontId="19" fillId="0" borderId="141" xfId="68" applyNumberFormat="1" applyFont="1" applyBorder="1" applyAlignment="1">
      <alignment horizontal="center" vertical="top" wrapText="1"/>
    </xf>
    <xf numFmtId="49" fontId="27" fillId="0" borderId="142" xfId="37" applyNumberFormat="1" applyFont="1" applyBorder="1" applyAlignment="1">
      <alignment horizontal="center" vertical="top" wrapText="1"/>
    </xf>
    <xf numFmtId="0" fontId="19" fillId="2" borderId="143" xfId="28" applyFont="1" applyFill="1" applyBorder="1" applyAlignment="1">
      <alignment vertical="center" wrapText="1"/>
    </xf>
    <xf numFmtId="0" fontId="19" fillId="2" borderId="144" xfId="1" applyFont="1" applyFill="1" applyBorder="1" applyAlignment="1">
      <alignment horizontal="center" vertical="top" wrapText="1"/>
    </xf>
    <xf numFmtId="4" fontId="19" fillId="8" borderId="144" xfId="37" applyNumberFormat="1" applyFont="1" applyFill="1" applyBorder="1" applyAlignment="1">
      <alignment horizontal="center" vertical="top"/>
    </xf>
    <xf numFmtId="2" fontId="19" fillId="2" borderId="143" xfId="28" applyNumberFormat="1" applyFont="1" applyFill="1" applyBorder="1" applyAlignment="1">
      <alignment horizontal="center" vertical="center" wrapText="1"/>
    </xf>
    <xf numFmtId="49" fontId="27" fillId="0" borderId="145" xfId="37" applyNumberFormat="1" applyFont="1" applyBorder="1" applyAlignment="1">
      <alignment horizontal="center" vertical="top" wrapText="1"/>
    </xf>
    <xf numFmtId="0" fontId="36" fillId="0" borderId="141" xfId="0" applyFont="1" applyFill="1" applyBorder="1" applyAlignment="1">
      <alignment horizontal="center" vertical="top"/>
    </xf>
    <xf numFmtId="0" fontId="21" fillId="17" borderId="148" xfId="37" applyFont="1" applyFill="1" applyBorder="1" applyAlignment="1">
      <alignment horizontal="left" vertical="top"/>
    </xf>
    <xf numFmtId="0" fontId="21" fillId="17" borderId="146" xfId="0" applyFont="1" applyFill="1" applyBorder="1" applyAlignment="1">
      <alignment horizontal="center" vertical="top"/>
    </xf>
    <xf numFmtId="4" fontId="21" fillId="17" borderId="146" xfId="0" applyNumberFormat="1" applyFont="1" applyFill="1" applyBorder="1" applyAlignment="1">
      <alignment horizontal="center" vertical="top"/>
    </xf>
    <xf numFmtId="0" fontId="21" fillId="17" borderId="147" xfId="0" applyFont="1" applyFill="1" applyBorder="1" applyAlignment="1">
      <alignment horizontal="center" vertical="top"/>
    </xf>
    <xf numFmtId="0" fontId="41" fillId="7" borderId="141" xfId="1" applyFont="1" applyFill="1" applyBorder="1" applyAlignment="1">
      <alignment horizontal="left" vertical="top" wrapText="1"/>
    </xf>
    <xf numFmtId="0" fontId="21" fillId="7" borderId="141" xfId="1" applyFont="1" applyFill="1" applyBorder="1" applyAlignment="1">
      <alignment horizontal="center" vertical="top" wrapText="1"/>
    </xf>
    <xf numFmtId="4" fontId="21" fillId="15" borderId="141" xfId="37" applyNumberFormat="1" applyFont="1" applyFill="1" applyBorder="1" applyAlignment="1">
      <alignment horizontal="center" vertical="top"/>
    </xf>
    <xf numFmtId="0" fontId="27" fillId="15" borderId="145" xfId="37" applyFont="1" applyFill="1" applyBorder="1" applyAlignment="1">
      <alignment horizontal="center" vertical="top" wrapText="1"/>
    </xf>
    <xf numFmtId="0" fontId="19" fillId="0" borderId="141" xfId="1" applyFont="1" applyBorder="1" applyAlignment="1">
      <alignment horizontal="left" vertical="top" wrapText="1"/>
    </xf>
    <xf numFmtId="0" fontId="19" fillId="2" borderId="149" xfId="1" applyFont="1" applyFill="1" applyBorder="1" applyAlignment="1">
      <alignment horizontal="center" vertical="top" wrapText="1"/>
    </xf>
    <xf numFmtId="0" fontId="27" fillId="8" borderId="145" xfId="37" applyFont="1" applyFill="1" applyBorder="1" applyAlignment="1">
      <alignment horizontal="center" vertical="top" wrapText="1"/>
    </xf>
    <xf numFmtId="0" fontId="36" fillId="17" borderId="141" xfId="0" applyFont="1" applyFill="1" applyBorder="1" applyAlignment="1">
      <alignment horizontal="center" vertical="top"/>
    </xf>
    <xf numFmtId="0" fontId="19" fillId="2" borderId="141" xfId="1" applyFont="1" applyFill="1" applyBorder="1" applyAlignment="1">
      <alignment horizontal="left" vertical="top" wrapText="1"/>
    </xf>
    <xf numFmtId="2" fontId="19" fillId="0" borderId="141" xfId="38" applyNumberFormat="1" applyFont="1" applyBorder="1" applyAlignment="1">
      <alignment horizontal="center" vertical="top"/>
    </xf>
    <xf numFmtId="4" fontId="19" fillId="0" borderId="150" xfId="28" applyNumberFormat="1" applyFont="1" applyBorder="1" applyAlignment="1">
      <alignment horizontal="center" vertical="top" wrapText="1"/>
    </xf>
    <xf numFmtId="0" fontId="21" fillId="7" borderId="141" xfId="1" applyFont="1" applyFill="1" applyBorder="1" applyAlignment="1">
      <alignment horizontal="left" vertical="top" wrapText="1"/>
    </xf>
    <xf numFmtId="4" fontId="19" fillId="0" borderId="141" xfId="37" applyNumberFormat="1" applyFont="1" applyBorder="1" applyAlignment="1">
      <alignment horizontal="center" vertical="top"/>
    </xf>
    <xf numFmtId="49" fontId="27" fillId="2" borderId="145" xfId="37" applyNumberFormat="1" applyFont="1" applyFill="1" applyBorder="1" applyAlignment="1">
      <alignment horizontal="center" vertical="top" wrapText="1"/>
    </xf>
    <xf numFmtId="0" fontId="19" fillId="2" borderId="141" xfId="28" applyFont="1" applyFill="1" applyBorder="1" applyAlignment="1">
      <alignment vertical="center" wrapText="1"/>
    </xf>
    <xf numFmtId="2" fontId="34" fillId="2" borderId="141" xfId="38" applyNumberFormat="1" applyFont="1" applyFill="1" applyBorder="1" applyAlignment="1">
      <alignment horizontal="center" vertical="center"/>
    </xf>
    <xf numFmtId="0" fontId="19" fillId="8" borderId="141" xfId="37" applyFont="1" applyFill="1" applyBorder="1" applyAlignment="1">
      <alignment horizontal="center" vertical="center"/>
    </xf>
    <xf numFmtId="168" fontId="19" fillId="8" borderId="141" xfId="37" applyNumberFormat="1" applyFont="1" applyFill="1" applyBorder="1" applyAlignment="1">
      <alignment horizontal="center" vertical="top"/>
    </xf>
    <xf numFmtId="0" fontId="21" fillId="17" borderId="151" xfId="0" applyFont="1" applyFill="1" applyBorder="1" applyAlignment="1">
      <alignment horizontal="center" vertical="top"/>
    </xf>
    <xf numFmtId="4" fontId="21" fillId="17" borderId="151" xfId="0" applyNumberFormat="1" applyFont="1" applyFill="1" applyBorder="1" applyAlignment="1">
      <alignment horizontal="center" vertical="top"/>
    </xf>
    <xf numFmtId="0" fontId="21" fillId="17" borderId="152" xfId="0" applyFont="1" applyFill="1" applyBorder="1" applyAlignment="1">
      <alignment horizontal="center" vertical="top"/>
    </xf>
    <xf numFmtId="0" fontId="19" fillId="2" borderId="153" xfId="1" applyFont="1" applyFill="1" applyBorder="1" applyAlignment="1">
      <alignment horizontal="center" vertical="top" wrapText="1"/>
    </xf>
    <xf numFmtId="4" fontId="19" fillId="0" borderId="154" xfId="28" applyNumberFormat="1" applyFont="1" applyBorder="1" applyAlignment="1">
      <alignment horizontal="center" vertical="top" wrapText="1"/>
    </xf>
    <xf numFmtId="2" fontId="19" fillId="0" borderId="141" xfId="38" applyNumberFormat="1" applyFont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2" fontId="37" fillId="14" borderId="0" xfId="0" applyNumberFormat="1" applyFont="1" applyFill="1" applyAlignment="1">
      <alignment horizontal="center" vertical="center"/>
    </xf>
    <xf numFmtId="0" fontId="37" fillId="1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37" fillId="14" borderId="0" xfId="0" applyFont="1" applyFill="1"/>
    <xf numFmtId="0" fontId="19" fillId="0" borderId="0" xfId="0" applyFont="1" applyFill="1" applyAlignment="1">
      <alignment horizontal="center"/>
    </xf>
    <xf numFmtId="2" fontId="19" fillId="0" borderId="0" xfId="0" applyNumberFormat="1" applyFont="1" applyFill="1" applyAlignment="1">
      <alignment vertical="top"/>
    </xf>
    <xf numFmtId="166" fontId="19" fillId="0" borderId="0" xfId="0" applyNumberFormat="1" applyFont="1" applyFill="1" applyAlignment="1">
      <alignment vertical="top"/>
    </xf>
    <xf numFmtId="2" fontId="21" fillId="0" borderId="0" xfId="0" applyNumberFormat="1" applyFont="1" applyFill="1" applyAlignment="1">
      <alignment vertical="top"/>
    </xf>
    <xf numFmtId="0" fontId="37" fillId="14" borderId="0" xfId="0" applyFont="1" applyFill="1" applyAlignment="1">
      <alignment vertical="center"/>
    </xf>
    <xf numFmtId="167" fontId="37" fillId="14" borderId="0" xfId="0" applyNumberFormat="1" applyFont="1" applyFill="1"/>
    <xf numFmtId="0" fontId="37" fillId="14" borderId="0" xfId="0" applyFont="1" applyFill="1" applyAlignment="1">
      <alignment horizontal="left"/>
    </xf>
    <xf numFmtId="0" fontId="37" fillId="14" borderId="0" xfId="0" applyFont="1" applyFill="1" applyAlignment="1">
      <alignment horizontal="center"/>
    </xf>
    <xf numFmtId="0" fontId="37" fillId="14" borderId="0" xfId="0" applyFont="1" applyFill="1" applyAlignment="1"/>
    <xf numFmtId="2" fontId="31" fillId="2" borderId="8" xfId="0" applyNumberFormat="1" applyFont="1" applyFill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wrapText="1"/>
    </xf>
    <xf numFmtId="164" fontId="31" fillId="2" borderId="8" xfId="68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top" wrapText="1"/>
    </xf>
    <xf numFmtId="49" fontId="19" fillId="0" borderId="27" xfId="37" applyNumberFormat="1" applyFont="1" applyBorder="1" applyAlignment="1">
      <alignment horizontal="center" vertical="top" wrapText="1"/>
    </xf>
    <xf numFmtId="49" fontId="19" fillId="0" borderId="28" xfId="37" applyNumberFormat="1" applyFont="1" applyBorder="1" applyAlignment="1">
      <alignment horizontal="center" vertical="top" wrapText="1"/>
    </xf>
    <xf numFmtId="49" fontId="21" fillId="0" borderId="24" xfId="37" applyNumberFormat="1" applyFont="1" applyBorder="1" applyAlignment="1">
      <alignment horizontal="center" vertical="top" wrapText="1"/>
    </xf>
    <xf numFmtId="49" fontId="21" fillId="0" borderId="25" xfId="37" applyNumberFormat="1" applyFont="1" applyBorder="1" applyAlignment="1">
      <alignment horizontal="center" vertical="top" wrapText="1"/>
    </xf>
    <xf numFmtId="49" fontId="21" fillId="0" borderId="26" xfId="37" applyNumberFormat="1" applyFont="1" applyBorder="1" applyAlignment="1">
      <alignment horizontal="center" vertical="top" wrapText="1"/>
    </xf>
    <xf numFmtId="49" fontId="21" fillId="0" borderId="23" xfId="37" applyNumberFormat="1" applyFont="1" applyBorder="1" applyAlignment="1">
      <alignment horizontal="center" vertical="top" wrapText="1"/>
    </xf>
    <xf numFmtId="49" fontId="21" fillId="0" borderId="10" xfId="37" applyNumberFormat="1" applyFont="1" applyBorder="1" applyAlignment="1">
      <alignment horizontal="center" vertical="top" wrapText="1"/>
    </xf>
    <xf numFmtId="49" fontId="21" fillId="0" borderId="7" xfId="37" applyNumberFormat="1" applyFont="1" applyBorder="1" applyAlignment="1">
      <alignment horizontal="center" vertical="top" wrapText="1"/>
    </xf>
    <xf numFmtId="4" fontId="21" fillId="0" borderId="23" xfId="37" applyNumberFormat="1" applyFont="1" applyBorder="1" applyAlignment="1">
      <alignment horizontal="center" vertical="top" wrapText="1"/>
    </xf>
    <xf numFmtId="4" fontId="21" fillId="0" borderId="10" xfId="37" applyNumberFormat="1" applyFont="1" applyBorder="1" applyAlignment="1">
      <alignment horizontal="center" vertical="top" wrapText="1"/>
    </xf>
    <xf numFmtId="4" fontId="21" fillId="0" borderId="7" xfId="37" applyNumberFormat="1" applyFont="1" applyBorder="1" applyAlignment="1">
      <alignment horizontal="center" vertical="top" wrapText="1"/>
    </xf>
    <xf numFmtId="4" fontId="21" fillId="0" borderId="23" xfId="68" applyNumberFormat="1" applyFont="1" applyBorder="1" applyAlignment="1">
      <alignment horizontal="center" vertical="top" wrapText="1"/>
    </xf>
    <xf numFmtId="4" fontId="21" fillId="0" borderId="10" xfId="68" applyNumberFormat="1" applyFont="1" applyBorder="1" applyAlignment="1">
      <alignment horizontal="center" vertical="top" wrapText="1"/>
    </xf>
    <xf numFmtId="4" fontId="21" fillId="0" borderId="7" xfId="68" applyNumberFormat="1" applyFont="1" applyBorder="1" applyAlignment="1">
      <alignment horizontal="center" vertical="top" wrapText="1"/>
    </xf>
    <xf numFmtId="4" fontId="21" fillId="0" borderId="20" xfId="37" applyNumberFormat="1" applyFont="1" applyBorder="1" applyAlignment="1">
      <alignment horizontal="center" vertical="top" wrapText="1"/>
    </xf>
    <xf numFmtId="4" fontId="21" fillId="0" borderId="21" xfId="37" applyNumberFormat="1" applyFont="1" applyBorder="1" applyAlignment="1">
      <alignment horizontal="center" vertical="top" wrapText="1"/>
    </xf>
    <xf numFmtId="4" fontId="21" fillId="0" borderId="22" xfId="37" applyNumberFormat="1" applyFont="1" applyBorder="1" applyAlignment="1">
      <alignment horizontal="center" vertical="top" wrapText="1"/>
    </xf>
    <xf numFmtId="49" fontId="21" fillId="0" borderId="17" xfId="37" applyNumberFormat="1" applyFont="1" applyBorder="1" applyAlignment="1">
      <alignment horizontal="center" vertical="top" wrapText="1"/>
    </xf>
    <xf numFmtId="49" fontId="21" fillId="0" borderId="18" xfId="37" applyNumberFormat="1" applyFont="1" applyBorder="1" applyAlignment="1">
      <alignment horizontal="center" vertical="top" wrapText="1"/>
    </xf>
    <xf numFmtId="49" fontId="21" fillId="0" borderId="19" xfId="37" applyNumberFormat="1" applyFont="1" applyBorder="1" applyAlignment="1">
      <alignment horizontal="center" vertical="top" wrapText="1"/>
    </xf>
    <xf numFmtId="4" fontId="21" fillId="0" borderId="16" xfId="37" applyNumberFormat="1" applyFont="1" applyBorder="1" applyAlignment="1">
      <alignment horizontal="center" vertical="top" wrapText="1"/>
    </xf>
    <xf numFmtId="4" fontId="21" fillId="0" borderId="6" xfId="37" applyNumberFormat="1" applyFont="1" applyBorder="1" applyAlignment="1">
      <alignment horizontal="center" vertical="top"/>
    </xf>
    <xf numFmtId="4" fontId="21" fillId="0" borderId="11" xfId="37" applyNumberFormat="1" applyFont="1" applyBorder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36" fillId="7" borderId="29" xfId="0" applyFont="1" applyFill="1" applyBorder="1" applyAlignment="1">
      <alignment horizontal="center" vertical="top"/>
    </xf>
    <xf numFmtId="0" fontId="36" fillId="7" borderId="70" xfId="0" applyFont="1" applyFill="1" applyBorder="1" applyAlignment="1">
      <alignment horizontal="center" vertical="top"/>
    </xf>
    <xf numFmtId="0" fontId="36" fillId="7" borderId="56" xfId="0" applyFont="1" applyFill="1" applyBorder="1" applyAlignment="1">
      <alignment horizontal="center" vertical="top"/>
    </xf>
    <xf numFmtId="0" fontId="36" fillId="7" borderId="56" xfId="0" applyFont="1" applyFill="1" applyBorder="1" applyAlignment="1">
      <alignment horizontal="center" vertical="center"/>
    </xf>
    <xf numFmtId="0" fontId="19" fillId="7" borderId="56" xfId="0" applyFont="1" applyFill="1" applyBorder="1" applyAlignment="1">
      <alignment horizontal="center" vertical="center"/>
    </xf>
    <xf numFmtId="0" fontId="36" fillId="7" borderId="96" xfId="0" applyFont="1" applyFill="1" applyBorder="1" applyAlignment="1">
      <alignment horizontal="center" vertical="top"/>
    </xf>
    <xf numFmtId="0" fontId="36" fillId="7" borderId="65" xfId="0" applyFont="1" applyFill="1" applyBorder="1" applyAlignment="1">
      <alignment horizontal="center" vertical="top"/>
    </xf>
    <xf numFmtId="0" fontId="36" fillId="7" borderId="123" xfId="0" applyFont="1" applyFill="1" applyBorder="1" applyAlignment="1">
      <alignment horizontal="center" vertical="top"/>
    </xf>
    <xf numFmtId="0" fontId="36" fillId="7" borderId="141" xfId="0" applyFont="1" applyFill="1" applyBorder="1" applyAlignment="1">
      <alignment horizontal="center" vertical="top"/>
    </xf>
    <xf numFmtId="4" fontId="21" fillId="7" borderId="155" xfId="68" applyNumberFormat="1" applyFont="1" applyFill="1" applyBorder="1" applyAlignment="1">
      <alignment horizontal="center" vertical="top" wrapText="1"/>
    </xf>
    <xf numFmtId="4" fontId="21" fillId="20" borderId="155" xfId="68" applyNumberFormat="1" applyFont="1" applyFill="1" applyBorder="1" applyAlignment="1">
      <alignment horizontal="center" vertical="top" wrapText="1"/>
    </xf>
    <xf numFmtId="4" fontId="19" fillId="7" borderId="155" xfId="68" applyNumberFormat="1" applyFont="1" applyFill="1" applyBorder="1" applyAlignment="1">
      <alignment horizontal="center" vertical="top" wrapText="1"/>
    </xf>
    <xf numFmtId="4" fontId="19" fillId="20" borderId="2" xfId="68" applyNumberFormat="1" applyFont="1" applyFill="1" applyBorder="1" applyAlignment="1">
      <alignment horizontal="center" vertical="top" wrapText="1"/>
    </xf>
    <xf numFmtId="0" fontId="21" fillId="10" borderId="156" xfId="0" quotePrefix="1" applyFont="1" applyFill="1" applyBorder="1" applyAlignment="1">
      <alignment horizontal="center" vertical="center"/>
    </xf>
    <xf numFmtId="0" fontId="21" fillId="10" borderId="103" xfId="0" quotePrefix="1" applyFont="1" applyFill="1" applyBorder="1" applyAlignment="1">
      <alignment horizontal="center" vertical="center"/>
    </xf>
    <xf numFmtId="0" fontId="21" fillId="10" borderId="157" xfId="0" quotePrefix="1" applyFont="1" applyFill="1" applyBorder="1" applyAlignment="1">
      <alignment horizontal="center" vertical="center"/>
    </xf>
    <xf numFmtId="0" fontId="21" fillId="10" borderId="155" xfId="0" quotePrefix="1" applyFont="1" applyFill="1" applyBorder="1" applyAlignment="1">
      <alignment vertical="center"/>
    </xf>
    <xf numFmtId="164" fontId="21" fillId="10" borderId="155" xfId="0" applyNumberFormat="1" applyFont="1" applyFill="1" applyBorder="1" applyAlignment="1">
      <alignment horizontal="right" vertical="center"/>
    </xf>
    <xf numFmtId="4" fontId="21" fillId="0" borderId="155" xfId="45" applyNumberFormat="1" applyFont="1" applyBorder="1" applyAlignment="1">
      <alignment horizontal="right" vertical="center"/>
    </xf>
    <xf numFmtId="0" fontId="10" fillId="0" borderId="158" xfId="0" applyFont="1" applyBorder="1"/>
    <xf numFmtId="0" fontId="27" fillId="21" borderId="159" xfId="45" applyFont="1" applyFill="1" applyBorder="1" applyAlignment="1">
      <alignment horizontal="center" vertical="center"/>
    </xf>
    <xf numFmtId="49" fontId="42" fillId="21" borderId="155" xfId="45" applyNumberFormat="1" applyFont="1" applyFill="1" applyBorder="1" applyAlignment="1">
      <alignment vertical="center"/>
    </xf>
    <xf numFmtId="4" fontId="27" fillId="21" borderId="155" xfId="40" applyNumberFormat="1" applyFont="1" applyFill="1" applyBorder="1" applyAlignment="1">
      <alignment horizontal="center" vertical="center" wrapText="1"/>
    </xf>
    <xf numFmtId="0" fontId="27" fillId="21" borderId="155" xfId="40" applyFont="1" applyFill="1" applyBorder="1" applyAlignment="1">
      <alignment horizontal="center" vertical="center" wrapText="1"/>
    </xf>
    <xf numFmtId="4" fontId="27" fillId="21" borderId="155" xfId="30" applyNumberFormat="1" applyFont="1" applyFill="1" applyBorder="1" applyAlignment="1">
      <alignment horizontal="center" vertical="center"/>
    </xf>
    <xf numFmtId="4" fontId="21" fillId="21" borderId="155" xfId="45" applyNumberFormat="1" applyFont="1" applyFill="1" applyBorder="1" applyAlignment="1">
      <alignment horizontal="right" vertical="center"/>
    </xf>
    <xf numFmtId="4" fontId="19" fillId="21" borderId="155" xfId="45" applyNumberFormat="1" applyFont="1" applyFill="1" applyBorder="1" applyAlignment="1">
      <alignment horizontal="right" vertical="center"/>
    </xf>
    <xf numFmtId="0" fontId="27" fillId="21" borderId="158" xfId="45" applyFont="1" applyFill="1" applyBorder="1" applyAlignment="1">
      <alignment horizontal="center" vertical="center" wrapText="1"/>
    </xf>
    <xf numFmtId="0" fontId="27" fillId="0" borderId="159" xfId="45" applyFont="1" applyBorder="1" applyAlignment="1">
      <alignment horizontal="center" vertical="center"/>
    </xf>
    <xf numFmtId="0" fontId="42" fillId="0" borderId="155" xfId="40" applyFont="1" applyBorder="1" applyAlignment="1">
      <alignment vertical="center" wrapText="1"/>
    </xf>
    <xf numFmtId="4" fontId="27" fillId="0" borderId="155" xfId="40" applyNumberFormat="1" applyFont="1" applyBorder="1" applyAlignment="1">
      <alignment horizontal="center" vertical="center" wrapText="1"/>
    </xf>
    <xf numFmtId="0" fontId="27" fillId="0" borderId="155" xfId="40" applyFont="1" applyBorder="1" applyAlignment="1">
      <alignment horizontal="center" vertical="center" wrapText="1"/>
    </xf>
    <xf numFmtId="4" fontId="27" fillId="0" borderId="155" xfId="30" applyNumberFormat="1" applyFont="1" applyBorder="1" applyAlignment="1">
      <alignment horizontal="center" vertical="center"/>
    </xf>
    <xf numFmtId="4" fontId="19" fillId="0" borderId="155" xfId="45" applyNumberFormat="1" applyFont="1" applyBorder="1" applyAlignment="1">
      <alignment horizontal="right" vertical="center"/>
    </xf>
    <xf numFmtId="0" fontId="27" fillId="0" borderId="158" xfId="45" applyFont="1" applyBorder="1" applyAlignment="1">
      <alignment horizontal="center" vertical="center" wrapText="1"/>
    </xf>
    <xf numFmtId="0" fontId="27" fillId="0" borderId="155" xfId="40" applyFont="1" applyBorder="1" applyAlignment="1">
      <alignment vertical="center" wrapText="1"/>
    </xf>
    <xf numFmtId="4" fontId="27" fillId="2" borderId="155" xfId="30" applyNumberFormat="1" applyFont="1" applyFill="1" applyBorder="1" applyAlignment="1">
      <alignment horizontal="center" vertical="center"/>
    </xf>
    <xf numFmtId="0" fontId="19" fillId="11" borderId="0" xfId="0" applyFont="1" applyFill="1" applyAlignment="1">
      <alignment horizontal="left" vertical="center" wrapText="1"/>
    </xf>
    <xf numFmtId="49" fontId="19" fillId="11" borderId="0" xfId="0" applyNumberFormat="1" applyFont="1" applyFill="1" applyAlignment="1">
      <alignment horizontal="center" vertical="center"/>
    </xf>
    <xf numFmtId="0" fontId="43" fillId="14" borderId="153" xfId="0" applyFont="1" applyFill="1" applyBorder="1" applyAlignment="1">
      <alignment horizontal="left" vertical="top"/>
    </xf>
    <xf numFmtId="0" fontId="43" fillId="14" borderId="103" xfId="0" applyFont="1" applyFill="1" applyBorder="1" applyAlignment="1">
      <alignment horizontal="left" vertical="top"/>
    </xf>
    <xf numFmtId="0" fontId="43" fillId="14" borderId="157" xfId="0" applyFont="1" applyFill="1" applyBorder="1" applyAlignment="1">
      <alignment horizontal="left" vertical="top"/>
    </xf>
    <xf numFmtId="0" fontId="44" fillId="14" borderId="153" xfId="0" applyFont="1" applyFill="1" applyBorder="1" applyAlignment="1">
      <alignment horizontal="center" vertical="center"/>
    </xf>
    <xf numFmtId="0" fontId="44" fillId="14" borderId="103" xfId="0" applyFont="1" applyFill="1" applyBorder="1" applyAlignment="1">
      <alignment horizontal="center" vertical="center"/>
    </xf>
    <xf numFmtId="0" fontId="44" fillId="14" borderId="157" xfId="0" applyFont="1" applyFill="1" applyBorder="1" applyAlignment="1">
      <alignment horizontal="center" vertical="center"/>
    </xf>
    <xf numFmtId="0" fontId="45" fillId="0" borderId="153" xfId="30" applyFont="1" applyBorder="1" applyAlignment="1">
      <alignment horizontal="left" vertical="top"/>
    </xf>
    <xf numFmtId="0" fontId="45" fillId="0" borderId="103" xfId="30" applyFont="1" applyBorder="1" applyAlignment="1">
      <alignment horizontal="left" vertical="top"/>
    </xf>
    <xf numFmtId="0" fontId="45" fillId="0" borderId="157" xfId="30" applyFont="1" applyBorder="1" applyAlignment="1">
      <alignment horizontal="left" vertical="top"/>
    </xf>
    <xf numFmtId="0" fontId="44" fillId="0" borderId="153" xfId="30" applyFont="1" applyBorder="1" applyAlignment="1">
      <alignment horizontal="center" vertical="center"/>
    </xf>
    <xf numFmtId="0" fontId="44" fillId="0" borderId="103" xfId="30" applyFont="1" applyBorder="1" applyAlignment="1">
      <alignment horizontal="center" vertical="center"/>
    </xf>
    <xf numFmtId="0" fontId="44" fillId="0" borderId="157" xfId="30" applyFont="1" applyBorder="1" applyAlignment="1">
      <alignment horizontal="center" vertical="center"/>
    </xf>
    <xf numFmtId="0" fontId="19" fillId="11" borderId="0" xfId="0" applyFont="1" applyFill="1" applyAlignment="1">
      <alignment vertical="center"/>
    </xf>
    <xf numFmtId="0" fontId="45" fillId="0" borderId="153" xfId="0" applyFont="1" applyBorder="1" applyAlignment="1">
      <alignment horizontal="left" vertical="top"/>
    </xf>
    <xf numFmtId="0" fontId="45" fillId="0" borderId="103" xfId="0" applyFont="1" applyBorder="1" applyAlignment="1">
      <alignment horizontal="left" vertical="top"/>
    </xf>
    <xf numFmtId="0" fontId="45" fillId="0" borderId="157" xfId="0" applyFont="1" applyBorder="1" applyAlignment="1">
      <alignment horizontal="left" vertical="top"/>
    </xf>
    <xf numFmtId="14" fontId="19" fillId="11" borderId="0" xfId="0" applyNumberFormat="1" applyFont="1" applyFill="1" applyAlignment="1">
      <alignment vertical="center"/>
    </xf>
    <xf numFmtId="0" fontId="44" fillId="0" borderId="153" xfId="0" applyFont="1" applyBorder="1" applyAlignment="1">
      <alignment horizontal="center" vertical="center"/>
    </xf>
    <xf numFmtId="0" fontId="44" fillId="0" borderId="103" xfId="0" applyFont="1" applyBorder="1" applyAlignment="1">
      <alignment horizontal="center" vertical="center"/>
    </xf>
    <xf numFmtId="0" fontId="44" fillId="0" borderId="157" xfId="0" applyFont="1" applyBorder="1" applyAlignment="1">
      <alignment horizontal="center" vertical="center"/>
    </xf>
    <xf numFmtId="0" fontId="45" fillId="0" borderId="153" xfId="0" applyFont="1" applyBorder="1" applyAlignment="1">
      <alignment horizontal="left" vertical="top" wrapText="1"/>
    </xf>
    <xf numFmtId="0" fontId="45" fillId="0" borderId="103" xfId="0" applyFont="1" applyBorder="1" applyAlignment="1">
      <alignment horizontal="left" vertical="top" wrapText="1"/>
    </xf>
    <xf numFmtId="0" fontId="45" fillId="0" borderId="157" xfId="0" applyFont="1" applyBorder="1" applyAlignment="1">
      <alignment horizontal="left" vertical="top" wrapText="1"/>
    </xf>
    <xf numFmtId="0" fontId="44" fillId="0" borderId="153" xfId="0" applyFont="1" applyBorder="1" applyAlignment="1">
      <alignment horizontal="center" vertical="center" wrapText="1"/>
    </xf>
    <xf numFmtId="0" fontId="44" fillId="0" borderId="103" xfId="0" applyFont="1" applyBorder="1" applyAlignment="1">
      <alignment horizontal="center" vertical="center" wrapText="1"/>
    </xf>
    <xf numFmtId="0" fontId="44" fillId="0" borderId="157" xfId="0" applyFont="1" applyBorder="1" applyAlignment="1">
      <alignment horizontal="center" vertical="center" wrapText="1"/>
    </xf>
  </cellXfs>
  <cellStyles count="70">
    <cellStyle name="Excel Built-in Bad" xfId="43" xr:uid="{00000000-0005-0000-0000-000000000000}"/>
    <cellStyle name="Excel Built-in Good" xfId="44" xr:uid="{00000000-0005-0000-0000-000001000000}"/>
    <cellStyle name="Excel Built-in Neutral" xfId="42" xr:uid="{00000000-0005-0000-0000-000002000000}"/>
    <cellStyle name="Excel Built-in Neutral 2" xfId="59" xr:uid="{00000000-0005-0000-0000-000003000000}"/>
    <cellStyle name="Excel Built-in Neutral 3" xfId="58" xr:uid="{00000000-0005-0000-0000-000004000000}"/>
    <cellStyle name="Excel Built-in Neutral 4" xfId="57" xr:uid="{00000000-0005-0000-0000-000005000000}"/>
    <cellStyle name="Excel Built-in Normal" xfId="28" xr:uid="{00000000-0005-0000-0000-000006000000}"/>
    <cellStyle name="Excel Built-in Output" xfId="41" xr:uid="{00000000-0005-0000-0000-000007000000}"/>
    <cellStyle name="Excel Built-in Output 2" xfId="61" xr:uid="{00000000-0005-0000-0000-000008000000}"/>
    <cellStyle name="Excel Built-in Output 3" xfId="60" xr:uid="{00000000-0005-0000-0000-000009000000}"/>
    <cellStyle name="Excel Built-in Output 4" xfId="56" xr:uid="{00000000-0005-0000-0000-00000A000000}"/>
    <cellStyle name="Акт" xfId="2" xr:uid="{00000000-0005-0000-0000-00000B000000}"/>
    <cellStyle name="Акт 2" xfId="46" xr:uid="{00000000-0005-0000-0000-00000C000000}"/>
    <cellStyle name="АктМТСН" xfId="3" xr:uid="{00000000-0005-0000-0000-00000D000000}"/>
    <cellStyle name="ВедРесурсов" xfId="4" xr:uid="{00000000-0005-0000-0000-00000E000000}"/>
    <cellStyle name="ВедРесурсов 2" xfId="47" xr:uid="{00000000-0005-0000-0000-00000F000000}"/>
    <cellStyle name="ВедРесурсовАкт" xfId="5" xr:uid="{00000000-0005-0000-0000-000010000000}"/>
    <cellStyle name="Гиперссылка" xfId="69" builtinId="8"/>
    <cellStyle name="Итоги" xfId="6" xr:uid="{00000000-0005-0000-0000-000011000000}"/>
    <cellStyle name="ИтогоАктБазЦ" xfId="7" xr:uid="{00000000-0005-0000-0000-000012000000}"/>
    <cellStyle name="ИтогоАктТекЦ" xfId="8" xr:uid="{00000000-0005-0000-0000-000013000000}"/>
    <cellStyle name="ИтогоБазЦ" xfId="9" xr:uid="{00000000-0005-0000-0000-000014000000}"/>
    <cellStyle name="ИтогоБИМ" xfId="10" xr:uid="{00000000-0005-0000-0000-000015000000}"/>
    <cellStyle name="ИтогоТекЦ" xfId="11" xr:uid="{00000000-0005-0000-0000-000016000000}"/>
    <cellStyle name="ЛокСмета" xfId="12" xr:uid="{00000000-0005-0000-0000-000017000000}"/>
    <cellStyle name="ЛокСмета 2" xfId="13" xr:uid="{00000000-0005-0000-0000-000018000000}"/>
    <cellStyle name="ЛокСмета 2 2" xfId="49" xr:uid="{00000000-0005-0000-0000-000019000000}"/>
    <cellStyle name="ЛокСмета 3" xfId="48" xr:uid="{00000000-0005-0000-0000-00001A000000}"/>
    <cellStyle name="ЛокСмМТСН" xfId="14" xr:uid="{00000000-0005-0000-0000-00001B000000}"/>
    <cellStyle name="Обычный" xfId="0" builtinId="0"/>
    <cellStyle name="Обычный 2" xfId="23" xr:uid="{00000000-0005-0000-0000-00001D000000}"/>
    <cellStyle name="Обычный 2 10 27 3 2 2" xfId="37" xr:uid="{00000000-0005-0000-0000-00001E000000}"/>
    <cellStyle name="Обычный 2 2" xfId="30" xr:uid="{00000000-0005-0000-0000-00001F000000}"/>
    <cellStyle name="Обычный 2 3" xfId="27" xr:uid="{00000000-0005-0000-0000-000020000000}"/>
    <cellStyle name="Обычный 2 99 7" xfId="38" xr:uid="{00000000-0005-0000-0000-000021000000}"/>
    <cellStyle name="Обычный 3" xfId="22" xr:uid="{00000000-0005-0000-0000-000022000000}"/>
    <cellStyle name="Обычный 3 2" xfId="40" xr:uid="{00000000-0005-0000-0000-000023000000}"/>
    <cellStyle name="Обычный 3 3" xfId="39" xr:uid="{00000000-0005-0000-0000-000024000000}"/>
    <cellStyle name="Обычный 4" xfId="1" xr:uid="{00000000-0005-0000-0000-000025000000}"/>
    <cellStyle name="Обычный 4 2" xfId="29" xr:uid="{00000000-0005-0000-0000-000026000000}"/>
    <cellStyle name="Обычный 4 2 2" xfId="54" xr:uid="{00000000-0005-0000-0000-000027000000}"/>
    <cellStyle name="Обычный 4 2 3" xfId="64" xr:uid="{00000000-0005-0000-0000-000028000000}"/>
    <cellStyle name="Обычный 4 3" xfId="36" xr:uid="{00000000-0005-0000-0000-000029000000}"/>
    <cellStyle name="Обычный 4 4" xfId="45" xr:uid="{00000000-0005-0000-0000-00002A000000}"/>
    <cellStyle name="Обычный 5" xfId="34" xr:uid="{00000000-0005-0000-0000-00002B000000}"/>
    <cellStyle name="Обычный 6" xfId="24" xr:uid="{00000000-0005-0000-0000-00002C000000}"/>
    <cellStyle name="Обычный 7" xfId="35" xr:uid="{00000000-0005-0000-0000-00002D000000}"/>
    <cellStyle name="Параметр" xfId="15" xr:uid="{00000000-0005-0000-0000-00002E000000}"/>
    <cellStyle name="ПеременныеСметы" xfId="16" xr:uid="{00000000-0005-0000-0000-00002F000000}"/>
    <cellStyle name="ПеременныеСметы 2" xfId="50" xr:uid="{00000000-0005-0000-0000-000030000000}"/>
    <cellStyle name="РесСмета" xfId="17" xr:uid="{00000000-0005-0000-0000-000031000000}"/>
    <cellStyle name="РесСмета 2" xfId="51" xr:uid="{00000000-0005-0000-0000-000032000000}"/>
    <cellStyle name="СводкаСтоимРаб" xfId="18" xr:uid="{00000000-0005-0000-0000-000033000000}"/>
    <cellStyle name="СводкаСтоимРаб 2" xfId="52" xr:uid="{00000000-0005-0000-0000-000034000000}"/>
    <cellStyle name="Титул" xfId="19" xr:uid="{00000000-0005-0000-0000-000035000000}"/>
    <cellStyle name="Титул 2" xfId="53" xr:uid="{00000000-0005-0000-0000-000036000000}"/>
    <cellStyle name="Финансовый" xfId="68" builtinId="3"/>
    <cellStyle name="Финансовый 2" xfId="25" xr:uid="{00000000-0005-0000-0000-000038000000}"/>
    <cellStyle name="Финансовый 2 2" xfId="32" xr:uid="{00000000-0005-0000-0000-000039000000}"/>
    <cellStyle name="Финансовый 2 3" xfId="63" xr:uid="{00000000-0005-0000-0000-00003A000000}"/>
    <cellStyle name="Финансовый 2 3 2" xfId="67" xr:uid="{00000000-0005-0000-0000-00003B000000}"/>
    <cellStyle name="Финансовый 3" xfId="31" xr:uid="{00000000-0005-0000-0000-00003C000000}"/>
    <cellStyle name="Финансовый 3 2" xfId="62" xr:uid="{00000000-0005-0000-0000-00003D000000}"/>
    <cellStyle name="Финансовый 3 2 2" xfId="66" xr:uid="{00000000-0005-0000-0000-00003E000000}"/>
    <cellStyle name="Финансовый 3 3" xfId="55" xr:uid="{00000000-0005-0000-0000-00003F000000}"/>
    <cellStyle name="Финансовый 3 4" xfId="65" xr:uid="{00000000-0005-0000-0000-000040000000}"/>
    <cellStyle name="Финансовый 4" xfId="33" xr:uid="{00000000-0005-0000-0000-000041000000}"/>
    <cellStyle name="Хвост" xfId="20" xr:uid="{00000000-0005-0000-0000-000042000000}"/>
    <cellStyle name="Экспертиза" xfId="21" xr:uid="{00000000-0005-0000-0000-000043000000}"/>
    <cellStyle name="㼿㼿㼿㼿㼿㼿㼿㼿㼿㼿㼿㼿㼿㼿" xfId="26" xr:uid="{00000000-0005-0000-0000-00004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08CA4-A0F2-4BAB-AD12-DC62BA92BF95}">
  <dimension ref="A1:AL877"/>
  <sheetViews>
    <sheetView tabSelected="1" zoomScale="115" zoomScaleNormal="115" workbookViewId="0">
      <pane ySplit="7" topLeftCell="A8" activePane="bottomLeft" state="frozen"/>
      <selection pane="bottomLeft" activeCell="A7" sqref="A7"/>
    </sheetView>
  </sheetViews>
  <sheetFormatPr defaultColWidth="9.140625" defaultRowHeight="15.75" x14ac:dyDescent="0.25"/>
  <cols>
    <col min="1" max="1" width="9.140625" style="8"/>
    <col min="2" max="2" width="46" style="8" customWidth="1"/>
    <col min="3" max="3" width="7.140625" style="8" customWidth="1"/>
    <col min="4" max="4" width="9.7109375" style="13" customWidth="1"/>
    <col min="5" max="5" width="11.140625" style="14" customWidth="1"/>
    <col min="6" max="6" width="12.7109375" style="13" customWidth="1"/>
    <col min="7" max="7" width="12.85546875" style="13" customWidth="1"/>
    <col min="8" max="8" width="13.85546875" style="13" customWidth="1"/>
    <col min="9" max="9" width="16" style="13" bestFit="1" customWidth="1"/>
    <col min="10" max="10" width="15" style="13" bestFit="1" customWidth="1"/>
    <col min="11" max="11" width="16" style="13" bestFit="1" customWidth="1"/>
    <col min="12" max="12" width="24.7109375" style="29" customWidth="1"/>
    <col min="13" max="13" width="14.42578125" style="8" customWidth="1"/>
    <col min="14" max="14" width="12.85546875" style="8" customWidth="1"/>
    <col min="15" max="15" width="9.140625" style="8"/>
    <col min="16" max="16" width="12.28515625" style="8" bestFit="1" customWidth="1"/>
    <col min="17" max="16384" width="9.140625" style="8"/>
  </cols>
  <sheetData>
    <row r="1" spans="1:14" ht="15.75" customHeight="1" x14ac:dyDescent="0.25">
      <c r="A1" s="498" t="s">
        <v>4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</row>
    <row r="2" spans="1:14" ht="15.75" customHeight="1" x14ac:dyDescent="0.25">
      <c r="A2" s="498" t="s">
        <v>24</v>
      </c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36" customHeight="1" thickBot="1" x14ac:dyDescent="0.3">
      <c r="A3" s="499" t="s">
        <v>197</v>
      </c>
      <c r="B3" s="500"/>
      <c r="C3" s="500"/>
      <c r="D3" s="500"/>
      <c r="E3" s="500"/>
      <c r="F3" s="500"/>
      <c r="G3" s="500"/>
      <c r="H3" s="500"/>
      <c r="I3" s="500"/>
      <c r="J3" s="500"/>
      <c r="K3" s="500"/>
      <c r="L3" s="500"/>
    </row>
    <row r="4" spans="1:14" ht="16.5" customHeight="1" x14ac:dyDescent="0.25">
      <c r="A4" s="501" t="s">
        <v>53</v>
      </c>
      <c r="B4" s="504" t="s">
        <v>5</v>
      </c>
      <c r="C4" s="504" t="s">
        <v>44</v>
      </c>
      <c r="D4" s="507" t="s">
        <v>6</v>
      </c>
      <c r="E4" s="510" t="s">
        <v>7</v>
      </c>
      <c r="F4" s="513" t="s">
        <v>8</v>
      </c>
      <c r="G4" s="514"/>
      <c r="H4" s="515"/>
      <c r="I4" s="513" t="s">
        <v>9</v>
      </c>
      <c r="J4" s="514"/>
      <c r="K4" s="515"/>
      <c r="L4" s="516" t="s">
        <v>10</v>
      </c>
    </row>
    <row r="5" spans="1:14" x14ac:dyDescent="0.25">
      <c r="A5" s="502"/>
      <c r="B5" s="505"/>
      <c r="C5" s="505"/>
      <c r="D5" s="508"/>
      <c r="E5" s="511"/>
      <c r="F5" s="519" t="s">
        <v>11</v>
      </c>
      <c r="G5" s="520" t="s">
        <v>12</v>
      </c>
      <c r="H5" s="521"/>
      <c r="I5" s="519" t="s">
        <v>11</v>
      </c>
      <c r="J5" s="520" t="s">
        <v>12</v>
      </c>
      <c r="K5" s="521"/>
      <c r="L5" s="517"/>
    </row>
    <row r="6" spans="1:14" x14ac:dyDescent="0.25">
      <c r="A6" s="503"/>
      <c r="B6" s="506"/>
      <c r="C6" s="506"/>
      <c r="D6" s="509"/>
      <c r="E6" s="512"/>
      <c r="F6" s="509"/>
      <c r="G6" s="2" t="s">
        <v>13</v>
      </c>
      <c r="H6" s="2" t="s">
        <v>14</v>
      </c>
      <c r="I6" s="509"/>
      <c r="J6" s="2" t="s">
        <v>13</v>
      </c>
      <c r="K6" s="2" t="s">
        <v>14</v>
      </c>
      <c r="L6" s="518"/>
    </row>
    <row r="7" spans="1:14" s="9" customFormat="1" x14ac:dyDescent="0.25">
      <c r="A7" s="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7">
        <v>12</v>
      </c>
    </row>
    <row r="8" spans="1:14" x14ac:dyDescent="0.25">
      <c r="A8" s="16"/>
      <c r="B8" s="3" t="s">
        <v>73</v>
      </c>
      <c r="C8" s="4" t="s">
        <v>72</v>
      </c>
      <c r="D8" s="27"/>
      <c r="E8" s="27"/>
      <c r="F8" s="27"/>
      <c r="G8" s="27"/>
      <c r="H8" s="27"/>
      <c r="I8" s="27"/>
      <c r="J8" s="27"/>
      <c r="K8" s="27"/>
      <c r="L8" s="28"/>
    </row>
    <row r="9" spans="1:14" s="34" customFormat="1" x14ac:dyDescent="0.25">
      <c r="A9" s="17"/>
      <c r="B9" s="123" t="s">
        <v>56</v>
      </c>
      <c r="C9" s="18"/>
      <c r="D9" s="19"/>
      <c r="E9" s="19"/>
      <c r="F9" s="19"/>
      <c r="G9" s="19"/>
      <c r="H9" s="19"/>
      <c r="I9" s="19"/>
      <c r="J9" s="19"/>
      <c r="K9" s="19"/>
      <c r="L9" s="20"/>
    </row>
    <row r="10" spans="1:14" ht="31.5" x14ac:dyDescent="0.25">
      <c r="A10" s="528">
        <f>_xlfn.AGGREGATE(3,3,$B$10:B10)</f>
        <v>1</v>
      </c>
      <c r="B10" s="40" t="s">
        <v>217</v>
      </c>
      <c r="C10" s="124" t="s">
        <v>1</v>
      </c>
      <c r="D10" s="41"/>
      <c r="E10" s="42">
        <f>Расч.!E4+Расч.!E7*0.1</f>
        <v>389.92</v>
      </c>
      <c r="F10" s="537">
        <f t="shared" ref="F10:F11" si="0">G10+H10</f>
        <v>0</v>
      </c>
      <c r="G10" s="538"/>
      <c r="H10" s="537"/>
      <c r="I10" s="537">
        <f t="shared" ref="I10:I11" si="1">J10+K10</f>
        <v>0</v>
      </c>
      <c r="J10" s="539">
        <f>G10*E10</f>
        <v>0</v>
      </c>
      <c r="K10" s="537"/>
      <c r="L10" s="43"/>
      <c r="N10" s="10"/>
    </row>
    <row r="11" spans="1:14" x14ac:dyDescent="0.25">
      <c r="A11" s="35">
        <f>_xlfn.AGGREGATE(3,3,$B$10:B11)</f>
        <v>2</v>
      </c>
      <c r="B11" s="284" t="s">
        <v>218</v>
      </c>
      <c r="C11" s="44" t="s">
        <v>1</v>
      </c>
      <c r="D11" s="45">
        <v>1.1499999999999999</v>
      </c>
      <c r="E11" s="11">
        <f>E10*D11</f>
        <v>448.41</v>
      </c>
      <c r="F11" s="11">
        <f t="shared" si="0"/>
        <v>0</v>
      </c>
      <c r="G11" s="11"/>
      <c r="H11" s="540"/>
      <c r="I11" s="11">
        <f t="shared" si="1"/>
        <v>0</v>
      </c>
      <c r="J11" s="11"/>
      <c r="K11" s="11">
        <f>H11*E11</f>
        <v>0</v>
      </c>
      <c r="L11" s="46" t="s">
        <v>15</v>
      </c>
      <c r="N11" s="10"/>
    </row>
    <row r="12" spans="1:14" x14ac:dyDescent="0.25">
      <c r="A12" s="528">
        <f>_xlfn.AGGREGATE(3,3,$B$10:B12)</f>
        <v>3</v>
      </c>
      <c r="B12" s="49" t="s">
        <v>57</v>
      </c>
      <c r="C12" s="125" t="s">
        <v>1</v>
      </c>
      <c r="D12" s="50"/>
      <c r="E12" s="15">
        <f>Расч.!E4</f>
        <v>375.2</v>
      </c>
      <c r="F12" s="537">
        <f t="shared" ref="F12:F13" si="2">G12+H12</f>
        <v>0</v>
      </c>
      <c r="G12" s="538"/>
      <c r="H12" s="537"/>
      <c r="I12" s="537">
        <f t="shared" ref="I12:I13" si="3">J12+K12</f>
        <v>0</v>
      </c>
      <c r="J12" s="539">
        <f>G12*E12</f>
        <v>0</v>
      </c>
      <c r="K12" s="537"/>
      <c r="L12" s="51"/>
      <c r="N12" s="10"/>
    </row>
    <row r="13" spans="1:14" ht="31.5" x14ac:dyDescent="0.25">
      <c r="A13" s="35">
        <f>_xlfn.AGGREGATE(3,3,$B$10:B13)</f>
        <v>4</v>
      </c>
      <c r="B13" s="74" t="s">
        <v>81</v>
      </c>
      <c r="C13" s="53" t="s">
        <v>27</v>
      </c>
      <c r="D13" s="54">
        <v>1.1000000000000001</v>
      </c>
      <c r="E13" s="11">
        <f>E12*D13*0.1</f>
        <v>41.27</v>
      </c>
      <c r="F13" s="11">
        <f t="shared" si="2"/>
        <v>0</v>
      </c>
      <c r="G13" s="11"/>
      <c r="H13" s="540"/>
      <c r="I13" s="11">
        <f t="shared" si="3"/>
        <v>0</v>
      </c>
      <c r="J13" s="11"/>
      <c r="K13" s="11">
        <f>H13*E13</f>
        <v>0</v>
      </c>
      <c r="L13" s="48" t="s">
        <v>15</v>
      </c>
      <c r="N13" s="10"/>
    </row>
    <row r="14" spans="1:14" x14ac:dyDescent="0.25">
      <c r="A14" s="528">
        <f>_xlfn.AGGREGATE(3,3,$B$10:B14)</f>
        <v>5</v>
      </c>
      <c r="B14" s="49" t="s">
        <v>60</v>
      </c>
      <c r="C14" s="125" t="s">
        <v>1</v>
      </c>
      <c r="D14" s="50"/>
      <c r="E14" s="15">
        <f>E12</f>
        <v>375.2</v>
      </c>
      <c r="F14" s="537">
        <f t="shared" ref="F14:F15" si="4">G14+H14</f>
        <v>0</v>
      </c>
      <c r="G14" s="538"/>
      <c r="H14" s="537"/>
      <c r="I14" s="537">
        <f t="shared" ref="I14:I15" si="5">J14+K14</f>
        <v>0</v>
      </c>
      <c r="J14" s="539">
        <f>G14*E14</f>
        <v>0</v>
      </c>
      <c r="K14" s="537"/>
      <c r="L14" s="51"/>
      <c r="N14" s="10"/>
    </row>
    <row r="15" spans="1:14" x14ac:dyDescent="0.25">
      <c r="A15" s="35">
        <f>_xlfn.AGGREGATE(3,3,$B$10:B15)</f>
        <v>6</v>
      </c>
      <c r="B15" s="52" t="s">
        <v>29</v>
      </c>
      <c r="C15" s="53" t="s">
        <v>1</v>
      </c>
      <c r="D15" s="54">
        <v>1.1499999999999999</v>
      </c>
      <c r="E15" s="11">
        <f>E14*D15</f>
        <v>431.48</v>
      </c>
      <c r="F15" s="11">
        <f t="shared" si="4"/>
        <v>0</v>
      </c>
      <c r="G15" s="11"/>
      <c r="H15" s="540"/>
      <c r="I15" s="11">
        <f t="shared" si="5"/>
        <v>0</v>
      </c>
      <c r="J15" s="11"/>
      <c r="K15" s="11">
        <f>H15*E15</f>
        <v>0</v>
      </c>
      <c r="L15" s="48" t="s">
        <v>15</v>
      </c>
      <c r="N15" s="10"/>
    </row>
    <row r="16" spans="1:14" x14ac:dyDescent="0.25">
      <c r="A16" s="528">
        <f>_xlfn.AGGREGATE(3,3,$B$10:B16)</f>
        <v>7</v>
      </c>
      <c r="B16" s="108" t="s">
        <v>85</v>
      </c>
      <c r="C16" s="121" t="s">
        <v>1</v>
      </c>
      <c r="D16" s="110"/>
      <c r="E16" s="15">
        <f>Расч.!J65*0.22</f>
        <v>17.12</v>
      </c>
      <c r="F16" s="537">
        <f t="shared" ref="F16:F17" si="6">G16+H16</f>
        <v>0</v>
      </c>
      <c r="G16" s="538"/>
      <c r="H16" s="537"/>
      <c r="I16" s="537">
        <f t="shared" ref="I16:I17" si="7">J16+K16</f>
        <v>0</v>
      </c>
      <c r="J16" s="539">
        <f>G16*E16</f>
        <v>0</v>
      </c>
      <c r="K16" s="537"/>
      <c r="L16" s="122"/>
      <c r="N16" s="10"/>
    </row>
    <row r="17" spans="1:14" ht="32.25" customHeight="1" x14ac:dyDescent="0.25">
      <c r="A17" s="35">
        <f>_xlfn.AGGREGATE(3,3,$B$10:B17)</f>
        <v>8</v>
      </c>
      <c r="B17" s="74" t="s">
        <v>248</v>
      </c>
      <c r="C17" s="104" t="s">
        <v>27</v>
      </c>
      <c r="D17" s="105">
        <v>1.1000000000000001</v>
      </c>
      <c r="E17" s="11">
        <f>E16*0.1*D17</f>
        <v>1.88</v>
      </c>
      <c r="F17" s="11">
        <f t="shared" si="6"/>
        <v>0</v>
      </c>
      <c r="G17" s="11"/>
      <c r="H17" s="540"/>
      <c r="I17" s="11">
        <f t="shared" si="7"/>
        <v>0</v>
      </c>
      <c r="J17" s="11"/>
      <c r="K17" s="11">
        <f>H17*E17</f>
        <v>0</v>
      </c>
      <c r="L17" s="48" t="s">
        <v>15</v>
      </c>
      <c r="N17" s="10"/>
    </row>
    <row r="18" spans="1:14" ht="47.25" x14ac:dyDescent="0.25">
      <c r="A18" s="528">
        <f>_xlfn.AGGREGATE(3,3,$B$10:B18)</f>
        <v>9</v>
      </c>
      <c r="B18" s="49" t="s">
        <v>82</v>
      </c>
      <c r="C18" s="125" t="s">
        <v>1</v>
      </c>
      <c r="D18" s="50"/>
      <c r="E18" s="15">
        <f>Расч.!I6</f>
        <v>367.42</v>
      </c>
      <c r="F18" s="537">
        <f t="shared" ref="F18:F20" si="8">G18+H18</f>
        <v>0</v>
      </c>
      <c r="G18" s="538"/>
      <c r="H18" s="537"/>
      <c r="I18" s="537">
        <f t="shared" ref="I18:I20" si="9">J18+K18</f>
        <v>0</v>
      </c>
      <c r="J18" s="539">
        <f>G18*E18</f>
        <v>0</v>
      </c>
      <c r="K18" s="537"/>
      <c r="L18" s="51"/>
      <c r="M18" s="34"/>
      <c r="N18" s="10"/>
    </row>
    <row r="19" spans="1:14" x14ac:dyDescent="0.25">
      <c r="A19" s="35">
        <f>_xlfn.AGGREGATE(3,3,$B$10:B19)</f>
        <v>10</v>
      </c>
      <c r="B19" s="55" t="s">
        <v>26</v>
      </c>
      <c r="C19" s="53" t="s">
        <v>27</v>
      </c>
      <c r="D19" s="56">
        <v>1.0149999999999999</v>
      </c>
      <c r="E19" s="11">
        <f>Расч.!J7*D19</f>
        <v>60.91</v>
      </c>
      <c r="F19" s="11">
        <f t="shared" si="8"/>
        <v>0</v>
      </c>
      <c r="G19" s="11"/>
      <c r="H19" s="540"/>
      <c r="I19" s="11">
        <f t="shared" si="9"/>
        <v>0</v>
      </c>
      <c r="J19" s="11"/>
      <c r="K19" s="11">
        <f>H19*E19</f>
        <v>0</v>
      </c>
      <c r="L19" s="48" t="s">
        <v>15</v>
      </c>
      <c r="N19" s="10"/>
    </row>
    <row r="20" spans="1:14" x14ac:dyDescent="0.25">
      <c r="A20" s="35">
        <f>_xlfn.AGGREGATE(3,3,$B$10:B20)</f>
        <v>11</v>
      </c>
      <c r="B20" s="55" t="s">
        <v>37</v>
      </c>
      <c r="C20" s="53" t="s">
        <v>1</v>
      </c>
      <c r="D20" s="54">
        <v>1.2</v>
      </c>
      <c r="E20" s="11">
        <f>E18*D20</f>
        <v>440.9</v>
      </c>
      <c r="F20" s="11">
        <f t="shared" si="8"/>
        <v>0</v>
      </c>
      <c r="G20" s="11"/>
      <c r="H20" s="540"/>
      <c r="I20" s="11">
        <f t="shared" si="9"/>
        <v>0</v>
      </c>
      <c r="J20" s="11"/>
      <c r="K20" s="11">
        <f>H20*E20</f>
        <v>0</v>
      </c>
      <c r="L20" s="57" t="s">
        <v>15</v>
      </c>
      <c r="N20" s="10"/>
    </row>
    <row r="21" spans="1:14" ht="31.5" x14ac:dyDescent="0.25">
      <c r="A21" s="528">
        <f>_xlfn.AGGREGATE(3,3,$B$10:B21)</f>
        <v>12</v>
      </c>
      <c r="B21" s="49" t="s">
        <v>179</v>
      </c>
      <c r="C21" s="125" t="s">
        <v>30</v>
      </c>
      <c r="D21" s="50"/>
      <c r="E21" s="15">
        <f>Расч.!E7</f>
        <v>147.16</v>
      </c>
      <c r="F21" s="537">
        <f t="shared" ref="F21:F22" si="10">G21+H21</f>
        <v>0</v>
      </c>
      <c r="G21" s="538"/>
      <c r="H21" s="537"/>
      <c r="I21" s="537">
        <f t="shared" ref="I21:I22" si="11">J21+K21</f>
        <v>0</v>
      </c>
      <c r="J21" s="539">
        <f>G21*E21</f>
        <v>0</v>
      </c>
      <c r="K21" s="537"/>
      <c r="L21" s="51"/>
      <c r="N21" s="10"/>
    </row>
    <row r="22" spans="1:14" x14ac:dyDescent="0.25">
      <c r="A22" s="35">
        <f>_xlfn.AGGREGATE(3,3,$B$10:B22)</f>
        <v>13</v>
      </c>
      <c r="B22" s="138" t="s">
        <v>26</v>
      </c>
      <c r="C22" s="102" t="s">
        <v>27</v>
      </c>
      <c r="D22" s="137">
        <v>5.0000000000000001E-3</v>
      </c>
      <c r="E22" s="11">
        <f>D22*E21</f>
        <v>0.74</v>
      </c>
      <c r="F22" s="11">
        <f t="shared" si="10"/>
        <v>0</v>
      </c>
      <c r="G22" s="11"/>
      <c r="H22" s="540"/>
      <c r="I22" s="11">
        <f t="shared" si="11"/>
        <v>0</v>
      </c>
      <c r="J22" s="11"/>
      <c r="K22" s="11">
        <f>H22*E22</f>
        <v>0</v>
      </c>
      <c r="L22" s="106" t="s">
        <v>15</v>
      </c>
      <c r="N22" s="10"/>
    </row>
    <row r="23" spans="1:14" ht="47.25" x14ac:dyDescent="0.25">
      <c r="A23" s="528">
        <f>_xlfn.AGGREGATE(3,3,$B$10:B23)</f>
        <v>14</v>
      </c>
      <c r="B23" s="49" t="s">
        <v>83</v>
      </c>
      <c r="C23" s="125" t="s">
        <v>1</v>
      </c>
      <c r="D23" s="50"/>
      <c r="E23" s="15">
        <f>Расч.!E4+Расч.!E7*0.3</f>
        <v>419.35</v>
      </c>
      <c r="F23" s="537">
        <f t="shared" ref="F23:F24" si="12">G23+H23</f>
        <v>0</v>
      </c>
      <c r="G23" s="538"/>
      <c r="H23" s="537"/>
      <c r="I23" s="537">
        <f t="shared" ref="I23:I24" si="13">J23+K23</f>
        <v>0</v>
      </c>
      <c r="J23" s="539">
        <f>G23*E23</f>
        <v>0</v>
      </c>
      <c r="K23" s="537"/>
      <c r="L23" s="51"/>
      <c r="N23" s="10"/>
    </row>
    <row r="24" spans="1:14" ht="31.5" x14ac:dyDescent="0.25">
      <c r="A24" s="35">
        <f>_xlfn.AGGREGATE(3,3,$B$10:B24)</f>
        <v>15</v>
      </c>
      <c r="B24" s="55" t="s">
        <v>84</v>
      </c>
      <c r="C24" s="53" t="s">
        <v>25</v>
      </c>
      <c r="D24" s="54">
        <v>0.35</v>
      </c>
      <c r="E24" s="11">
        <f>E23*D24</f>
        <v>146.77000000000001</v>
      </c>
      <c r="F24" s="11">
        <f t="shared" si="12"/>
        <v>0</v>
      </c>
      <c r="G24" s="11"/>
      <c r="H24" s="540"/>
      <c r="I24" s="11">
        <f t="shared" si="13"/>
        <v>0</v>
      </c>
      <c r="J24" s="11"/>
      <c r="K24" s="11">
        <f>H24*E24</f>
        <v>0</v>
      </c>
      <c r="L24" s="57" t="s">
        <v>15</v>
      </c>
      <c r="N24" s="10"/>
    </row>
    <row r="25" spans="1:14" ht="31.5" x14ac:dyDescent="0.25">
      <c r="A25" s="528">
        <f>_xlfn.AGGREGATE(3,3,$B$10:B25)</f>
        <v>16</v>
      </c>
      <c r="B25" s="49" t="s">
        <v>58</v>
      </c>
      <c r="C25" s="125" t="s">
        <v>1</v>
      </c>
      <c r="D25" s="50"/>
      <c r="E25" s="15">
        <f>Расч.!E4</f>
        <v>375.2</v>
      </c>
      <c r="F25" s="537">
        <f t="shared" ref="F25:F28" si="14">G25+H25</f>
        <v>0</v>
      </c>
      <c r="G25" s="538"/>
      <c r="H25" s="537"/>
      <c r="I25" s="537">
        <f t="shared" ref="I25:I28" si="15">J25+K25</f>
        <v>0</v>
      </c>
      <c r="J25" s="539">
        <f>G25*E25</f>
        <v>0</v>
      </c>
      <c r="K25" s="537"/>
      <c r="L25" s="51"/>
      <c r="N25" s="10"/>
    </row>
    <row r="26" spans="1:14" x14ac:dyDescent="0.25">
      <c r="A26" s="35">
        <f>_xlfn.AGGREGATE(3,3,$B$10:B26)</f>
        <v>17</v>
      </c>
      <c r="B26" s="223" t="s">
        <v>68</v>
      </c>
      <c r="C26" s="245" t="s">
        <v>1</v>
      </c>
      <c r="D26" s="224">
        <v>1.1599999999999999</v>
      </c>
      <c r="E26" s="11">
        <f>E25*D26</f>
        <v>435.23</v>
      </c>
      <c r="F26" s="11">
        <f t="shared" si="14"/>
        <v>0</v>
      </c>
      <c r="G26" s="11"/>
      <c r="H26" s="540"/>
      <c r="I26" s="11">
        <f t="shared" si="15"/>
        <v>0</v>
      </c>
      <c r="J26" s="11"/>
      <c r="K26" s="11">
        <f>H26*E26</f>
        <v>0</v>
      </c>
      <c r="L26" s="57" t="s">
        <v>15</v>
      </c>
      <c r="N26" s="10"/>
    </row>
    <row r="27" spans="1:14" x14ac:dyDescent="0.25">
      <c r="A27" s="35">
        <f>_xlfn.AGGREGATE(3,3,$B$10:B27)</f>
        <v>18</v>
      </c>
      <c r="B27" s="223" t="s">
        <v>219</v>
      </c>
      <c r="C27" s="245" t="s">
        <v>1</v>
      </c>
      <c r="D27" s="224">
        <v>1.1399999999999999</v>
      </c>
      <c r="E27" s="11">
        <f>E25*D27</f>
        <v>427.73</v>
      </c>
      <c r="F27" s="11">
        <f t="shared" si="14"/>
        <v>0</v>
      </c>
      <c r="G27" s="11"/>
      <c r="H27" s="540"/>
      <c r="I27" s="11">
        <f t="shared" si="15"/>
        <v>0</v>
      </c>
      <c r="J27" s="11"/>
      <c r="K27" s="11">
        <f>H27*E27</f>
        <v>0</v>
      </c>
      <c r="L27" s="57" t="s">
        <v>15</v>
      </c>
      <c r="N27" s="10"/>
    </row>
    <row r="28" spans="1:14" x14ac:dyDescent="0.25">
      <c r="A28" s="35">
        <f>_xlfn.AGGREGATE(3,3,$B$10:B28)</f>
        <v>19</v>
      </c>
      <c r="B28" s="223" t="s">
        <v>28</v>
      </c>
      <c r="C28" s="285" t="s">
        <v>3</v>
      </c>
      <c r="D28" s="286">
        <v>0.6</v>
      </c>
      <c r="E28" s="11">
        <f>E25*D28</f>
        <v>225.12</v>
      </c>
      <c r="F28" s="11">
        <f t="shared" si="14"/>
        <v>0</v>
      </c>
      <c r="G28" s="11"/>
      <c r="H28" s="540"/>
      <c r="I28" s="11">
        <f t="shared" si="15"/>
        <v>0</v>
      </c>
      <c r="J28" s="11"/>
      <c r="K28" s="11">
        <f>H28*E28</f>
        <v>0</v>
      </c>
      <c r="L28" s="106" t="s">
        <v>15</v>
      </c>
      <c r="N28" s="10"/>
    </row>
    <row r="29" spans="1:14" ht="31.5" x14ac:dyDescent="0.25">
      <c r="A29" s="528">
        <f>_xlfn.AGGREGATE(3,3,$B$10:B29)</f>
        <v>20</v>
      </c>
      <c r="B29" s="49" t="s">
        <v>35</v>
      </c>
      <c r="C29" s="125" t="s">
        <v>30</v>
      </c>
      <c r="D29" s="50"/>
      <c r="E29" s="15">
        <f>E21</f>
        <v>147.16</v>
      </c>
      <c r="F29" s="537">
        <f t="shared" ref="F29:F36" si="16">G29+H29</f>
        <v>0</v>
      </c>
      <c r="G29" s="538"/>
      <c r="H29" s="537"/>
      <c r="I29" s="537">
        <f t="shared" ref="I29:I36" si="17">J29+K29</f>
        <v>0</v>
      </c>
      <c r="J29" s="539">
        <f>G29*E29</f>
        <v>0</v>
      </c>
      <c r="K29" s="537"/>
      <c r="L29" s="51"/>
      <c r="N29" s="10"/>
    </row>
    <row r="30" spans="1:14" x14ac:dyDescent="0.25">
      <c r="A30" s="35">
        <f>_xlfn.AGGREGATE(3,3,$B$10:B30)</f>
        <v>21</v>
      </c>
      <c r="B30" s="223" t="s">
        <v>68</v>
      </c>
      <c r="C30" s="245" t="s">
        <v>1</v>
      </c>
      <c r="D30" s="224">
        <v>1.1599999999999999</v>
      </c>
      <c r="E30" s="11">
        <f>E29*0.5*D30</f>
        <v>85.35</v>
      </c>
      <c r="F30" s="11">
        <f t="shared" si="16"/>
        <v>0</v>
      </c>
      <c r="G30" s="11"/>
      <c r="H30" s="540"/>
      <c r="I30" s="11">
        <f t="shared" si="17"/>
        <v>0</v>
      </c>
      <c r="J30" s="11"/>
      <c r="K30" s="11">
        <f>H30*E30</f>
        <v>0</v>
      </c>
      <c r="L30" s="48" t="s">
        <v>15</v>
      </c>
      <c r="N30" s="10"/>
    </row>
    <row r="31" spans="1:14" x14ac:dyDescent="0.25">
      <c r="A31" s="35">
        <f>_xlfn.AGGREGATE(3,3,$B$10:B31)</f>
        <v>22</v>
      </c>
      <c r="B31" s="223" t="s">
        <v>219</v>
      </c>
      <c r="C31" s="245" t="s">
        <v>1</v>
      </c>
      <c r="D31" s="224">
        <v>1.1399999999999999</v>
      </c>
      <c r="E31" s="11">
        <f>E29*0.4*D31</f>
        <v>67.099999999999994</v>
      </c>
      <c r="F31" s="11">
        <f t="shared" si="16"/>
        <v>0</v>
      </c>
      <c r="G31" s="11"/>
      <c r="H31" s="540"/>
      <c r="I31" s="11">
        <f t="shared" si="17"/>
        <v>0</v>
      </c>
      <c r="J31" s="11"/>
      <c r="K31" s="11">
        <f>H31*E31</f>
        <v>0</v>
      </c>
      <c r="L31" s="48" t="s">
        <v>15</v>
      </c>
      <c r="N31" s="10"/>
    </row>
    <row r="32" spans="1:14" x14ac:dyDescent="0.25">
      <c r="A32" s="35">
        <f>_xlfn.AGGREGATE(3,3,$B$10:B32)</f>
        <v>23</v>
      </c>
      <c r="B32" s="223" t="s">
        <v>86</v>
      </c>
      <c r="C32" s="245" t="s">
        <v>1</v>
      </c>
      <c r="D32" s="224">
        <v>1.1399999999999999</v>
      </c>
      <c r="E32" s="11">
        <f>E29*0.25*D32</f>
        <v>41.94</v>
      </c>
      <c r="F32" s="11">
        <f t="shared" si="16"/>
        <v>0</v>
      </c>
      <c r="G32" s="11"/>
      <c r="H32" s="540"/>
      <c r="I32" s="11">
        <f t="shared" si="17"/>
        <v>0</v>
      </c>
      <c r="J32" s="11"/>
      <c r="K32" s="11">
        <f>H32*E32</f>
        <v>0</v>
      </c>
      <c r="L32" s="106" t="s">
        <v>15</v>
      </c>
      <c r="N32" s="10"/>
    </row>
    <row r="33" spans="1:14" x14ac:dyDescent="0.25">
      <c r="A33" s="35">
        <f>_xlfn.AGGREGATE(3,3,$B$10:B33)</f>
        <v>24</v>
      </c>
      <c r="B33" s="55" t="s">
        <v>28</v>
      </c>
      <c r="C33" s="47" t="s">
        <v>3</v>
      </c>
      <c r="D33" s="54">
        <v>0.6</v>
      </c>
      <c r="E33" s="11">
        <f>E29*D33</f>
        <v>88.3</v>
      </c>
      <c r="F33" s="11">
        <f t="shared" si="16"/>
        <v>0</v>
      </c>
      <c r="G33" s="11"/>
      <c r="H33" s="540"/>
      <c r="I33" s="11">
        <f t="shared" si="17"/>
        <v>0</v>
      </c>
      <c r="J33" s="11"/>
      <c r="K33" s="11">
        <f>H33*E33</f>
        <v>0</v>
      </c>
      <c r="L33" s="106" t="s">
        <v>15</v>
      </c>
      <c r="N33" s="10"/>
    </row>
    <row r="34" spans="1:14" ht="31.5" x14ac:dyDescent="0.25">
      <c r="A34" s="35">
        <f>_xlfn.AGGREGATE(3,3,$B$10:B34)</f>
        <v>25</v>
      </c>
      <c r="B34" s="55" t="s">
        <v>43</v>
      </c>
      <c r="C34" s="58" t="s">
        <v>2</v>
      </c>
      <c r="D34" s="54">
        <v>1.03</v>
      </c>
      <c r="E34" s="11">
        <f>E29*D34</f>
        <v>151.57</v>
      </c>
      <c r="F34" s="11">
        <f t="shared" si="16"/>
        <v>0</v>
      </c>
      <c r="G34" s="11"/>
      <c r="H34" s="540"/>
      <c r="I34" s="11">
        <f t="shared" si="17"/>
        <v>0</v>
      </c>
      <c r="J34" s="11"/>
      <c r="K34" s="11">
        <f>H34*E34</f>
        <v>0</v>
      </c>
      <c r="L34" s="48" t="s">
        <v>15</v>
      </c>
      <c r="N34" s="10"/>
    </row>
    <row r="35" spans="1:14" x14ac:dyDescent="0.25">
      <c r="A35" s="35">
        <f>_xlfn.AGGREGATE(3,3,$B$10:B35)</f>
        <v>26</v>
      </c>
      <c r="B35" s="55" t="s">
        <v>31</v>
      </c>
      <c r="C35" s="59" t="s">
        <v>0</v>
      </c>
      <c r="D35" s="54">
        <v>5</v>
      </c>
      <c r="E35" s="11">
        <f>ROUND(E29*D35,0)</f>
        <v>736</v>
      </c>
      <c r="F35" s="11">
        <f t="shared" si="16"/>
        <v>0</v>
      </c>
      <c r="G35" s="11"/>
      <c r="H35" s="540"/>
      <c r="I35" s="11">
        <f t="shared" si="17"/>
        <v>0</v>
      </c>
      <c r="J35" s="11"/>
      <c r="K35" s="11">
        <f>H35*E35</f>
        <v>0</v>
      </c>
      <c r="L35" s="48" t="s">
        <v>15</v>
      </c>
      <c r="N35" s="10"/>
    </row>
    <row r="36" spans="1:14" ht="31.5" x14ac:dyDescent="0.25">
      <c r="A36" s="35">
        <f>_xlfn.AGGREGATE(3,3,$B$10:B36)</f>
        <v>27</v>
      </c>
      <c r="B36" s="55" t="s">
        <v>69</v>
      </c>
      <c r="C36" s="60" t="s">
        <v>0</v>
      </c>
      <c r="D36" s="54">
        <v>0.15</v>
      </c>
      <c r="E36" s="11">
        <f>ROUND(E29*0.15,0)</f>
        <v>22</v>
      </c>
      <c r="F36" s="11">
        <f t="shared" si="16"/>
        <v>0</v>
      </c>
      <c r="G36" s="11"/>
      <c r="H36" s="540"/>
      <c r="I36" s="11">
        <f t="shared" si="17"/>
        <v>0</v>
      </c>
      <c r="J36" s="11"/>
      <c r="K36" s="11">
        <f>H36*E36</f>
        <v>0</v>
      </c>
      <c r="L36" s="48" t="s">
        <v>15</v>
      </c>
      <c r="N36" s="10"/>
    </row>
    <row r="37" spans="1:14" x14ac:dyDescent="0.25">
      <c r="A37" s="528">
        <f>_xlfn.AGGREGATE(3,3,$B$10:B37)</f>
        <v>28</v>
      </c>
      <c r="B37" s="49" t="s">
        <v>32</v>
      </c>
      <c r="C37" s="125" t="s">
        <v>0</v>
      </c>
      <c r="D37" s="50"/>
      <c r="E37" s="15">
        <v>2</v>
      </c>
      <c r="F37" s="537">
        <f t="shared" ref="F37:F38" si="18">G37+H37</f>
        <v>0</v>
      </c>
      <c r="G37" s="538"/>
      <c r="H37" s="537"/>
      <c r="I37" s="537">
        <f t="shared" ref="I37:I38" si="19">J37+K37</f>
        <v>0</v>
      </c>
      <c r="J37" s="539">
        <f>G37*E37</f>
        <v>0</v>
      </c>
      <c r="K37" s="537"/>
      <c r="L37" s="51"/>
      <c r="N37" s="10"/>
    </row>
    <row r="38" spans="1:14" ht="63" x14ac:dyDescent="0.25">
      <c r="A38" s="35">
        <f>_xlfn.AGGREGATE(3,3,$B$10:B38)</f>
        <v>29</v>
      </c>
      <c r="B38" s="223" t="s">
        <v>220</v>
      </c>
      <c r="C38" s="53" t="s">
        <v>0</v>
      </c>
      <c r="D38" s="54">
        <v>1</v>
      </c>
      <c r="E38" s="11">
        <f>E37</f>
        <v>2</v>
      </c>
      <c r="F38" s="11">
        <f t="shared" si="18"/>
        <v>0</v>
      </c>
      <c r="G38" s="11"/>
      <c r="H38" s="540"/>
      <c r="I38" s="11">
        <f t="shared" si="19"/>
        <v>0</v>
      </c>
      <c r="J38" s="11"/>
      <c r="K38" s="11">
        <f>H38*E38</f>
        <v>0</v>
      </c>
      <c r="L38" s="48" t="s">
        <v>15</v>
      </c>
      <c r="N38" s="10"/>
    </row>
    <row r="39" spans="1:14" x14ac:dyDescent="0.25">
      <c r="A39" s="528">
        <f>_xlfn.AGGREGATE(3,3,$B$10:B39)</f>
        <v>30</v>
      </c>
      <c r="B39" s="49" t="s">
        <v>52</v>
      </c>
      <c r="C39" s="125" t="s">
        <v>0</v>
      </c>
      <c r="D39" s="50"/>
      <c r="E39" s="15">
        <v>3</v>
      </c>
      <c r="F39" s="537">
        <f t="shared" ref="F39:F40" si="20">G39+H39</f>
        <v>0</v>
      </c>
      <c r="G39" s="538"/>
      <c r="H39" s="537"/>
      <c r="I39" s="537">
        <f t="shared" ref="I39:I40" si="21">J39+K39</f>
        <v>0</v>
      </c>
      <c r="J39" s="539">
        <f>G39*E39</f>
        <v>0</v>
      </c>
      <c r="K39" s="537"/>
      <c r="L39" s="51"/>
      <c r="N39" s="10"/>
    </row>
    <row r="40" spans="1:14" x14ac:dyDescent="0.25">
      <c r="A40" s="35">
        <f>_xlfn.AGGREGATE(3,3,$B$10:B40)</f>
        <v>31</v>
      </c>
      <c r="B40" s="223" t="s">
        <v>236</v>
      </c>
      <c r="C40" s="53" t="s">
        <v>0</v>
      </c>
      <c r="D40" s="54">
        <v>1</v>
      </c>
      <c r="E40" s="11">
        <f>E39*D40</f>
        <v>3</v>
      </c>
      <c r="F40" s="11">
        <f t="shared" si="20"/>
        <v>0</v>
      </c>
      <c r="G40" s="11"/>
      <c r="H40" s="540"/>
      <c r="I40" s="11">
        <f t="shared" si="21"/>
        <v>0</v>
      </c>
      <c r="J40" s="11"/>
      <c r="K40" s="11">
        <f>H40*E40</f>
        <v>0</v>
      </c>
      <c r="L40" s="48" t="s">
        <v>15</v>
      </c>
      <c r="N40" s="10"/>
    </row>
    <row r="41" spans="1:14" ht="31.5" x14ac:dyDescent="0.25">
      <c r="A41" s="528">
        <f>_xlfn.AGGREGATE(3,3,$B$10:B41)</f>
        <v>32</v>
      </c>
      <c r="B41" s="49" t="s">
        <v>62</v>
      </c>
      <c r="C41" s="125" t="s">
        <v>0</v>
      </c>
      <c r="D41" s="50"/>
      <c r="E41" s="15">
        <v>12</v>
      </c>
      <c r="F41" s="537">
        <f t="shared" ref="F41:F44" si="22">G41+H41</f>
        <v>0</v>
      </c>
      <c r="G41" s="538"/>
      <c r="H41" s="537"/>
      <c r="I41" s="537">
        <f t="shared" ref="I41:I44" si="23">J41+K41</f>
        <v>0</v>
      </c>
      <c r="J41" s="539">
        <f>G41*E41</f>
        <v>0</v>
      </c>
      <c r="K41" s="537"/>
      <c r="L41" s="51"/>
      <c r="N41" s="10"/>
    </row>
    <row r="42" spans="1:14" ht="31.5" x14ac:dyDescent="0.25">
      <c r="A42" s="35">
        <f>_xlfn.AGGREGATE(3,3,$B$10:B42)</f>
        <v>33</v>
      </c>
      <c r="B42" s="55" t="s">
        <v>69</v>
      </c>
      <c r="C42" s="53" t="s">
        <v>0</v>
      </c>
      <c r="D42" s="54">
        <v>0.15</v>
      </c>
      <c r="E42" s="11">
        <f>ROUNDUP(D42*E41,0)</f>
        <v>2</v>
      </c>
      <c r="F42" s="11">
        <f t="shared" si="22"/>
        <v>0</v>
      </c>
      <c r="G42" s="11"/>
      <c r="H42" s="540"/>
      <c r="I42" s="11">
        <f t="shared" si="23"/>
        <v>0</v>
      </c>
      <c r="J42" s="11"/>
      <c r="K42" s="11">
        <f>H42*E42</f>
        <v>0</v>
      </c>
      <c r="L42" s="48" t="s">
        <v>15</v>
      </c>
      <c r="N42" s="10"/>
    </row>
    <row r="43" spans="1:14" ht="34.5" customHeight="1" x14ac:dyDescent="0.25">
      <c r="A43" s="35">
        <f>_xlfn.AGGREGATE(3,3,$B$10:B43)</f>
        <v>34</v>
      </c>
      <c r="B43" s="55" t="s">
        <v>66</v>
      </c>
      <c r="C43" s="53" t="s">
        <v>0</v>
      </c>
      <c r="D43" s="54">
        <v>1</v>
      </c>
      <c r="E43" s="11">
        <f>E41</f>
        <v>12</v>
      </c>
      <c r="F43" s="11">
        <f t="shared" si="22"/>
        <v>0</v>
      </c>
      <c r="G43" s="11"/>
      <c r="H43" s="540"/>
      <c r="I43" s="11">
        <f t="shared" si="23"/>
        <v>0</v>
      </c>
      <c r="J43" s="11"/>
      <c r="K43" s="11">
        <f>H43*E43</f>
        <v>0</v>
      </c>
      <c r="L43" s="48" t="s">
        <v>15</v>
      </c>
      <c r="N43" s="10"/>
    </row>
    <row r="44" spans="1:14" ht="20.25" customHeight="1" x14ac:dyDescent="0.25">
      <c r="A44" s="255">
        <v>35</v>
      </c>
      <c r="B44" s="107" t="s">
        <v>87</v>
      </c>
      <c r="C44" s="53" t="s">
        <v>0</v>
      </c>
      <c r="D44" s="54">
        <v>1</v>
      </c>
      <c r="E44" s="11">
        <f>E41*D44</f>
        <v>12</v>
      </c>
      <c r="F44" s="11">
        <f t="shared" si="22"/>
        <v>0</v>
      </c>
      <c r="G44" s="11"/>
      <c r="H44" s="540"/>
      <c r="I44" s="11">
        <f t="shared" si="23"/>
        <v>0</v>
      </c>
      <c r="J44" s="11"/>
      <c r="K44" s="11">
        <f>H44*E44</f>
        <v>0</v>
      </c>
      <c r="L44" s="48" t="s">
        <v>15</v>
      </c>
      <c r="N44" s="10"/>
    </row>
    <row r="45" spans="1:14" ht="32.25" customHeight="1" x14ac:dyDescent="0.25">
      <c r="A45" s="528">
        <f>_xlfn.AGGREGATE(3,3,$B$10:B45)</f>
        <v>36</v>
      </c>
      <c r="B45" s="49" t="s">
        <v>88</v>
      </c>
      <c r="C45" s="125" t="s">
        <v>0</v>
      </c>
      <c r="D45" s="50"/>
      <c r="E45" s="15">
        <v>3</v>
      </c>
      <c r="F45" s="537">
        <f t="shared" ref="F45:F48" si="24">G45+H45</f>
        <v>0</v>
      </c>
      <c r="G45" s="538"/>
      <c r="H45" s="537"/>
      <c r="I45" s="537">
        <f t="shared" ref="I45:I48" si="25">J45+K45</f>
        <v>0</v>
      </c>
      <c r="J45" s="539">
        <f>G45*E45</f>
        <v>0</v>
      </c>
      <c r="K45" s="537"/>
      <c r="L45" s="51"/>
      <c r="N45" s="10"/>
    </row>
    <row r="46" spans="1:14" ht="18" customHeight="1" x14ac:dyDescent="0.25">
      <c r="A46" s="35">
        <f>_xlfn.AGGREGATE(3,3,$B$10:B46)</f>
        <v>37</v>
      </c>
      <c r="B46" s="107" t="s">
        <v>89</v>
      </c>
      <c r="C46" s="104" t="s">
        <v>0</v>
      </c>
      <c r="D46" s="105">
        <v>1</v>
      </c>
      <c r="E46" s="11">
        <f>E45*D46</f>
        <v>3</v>
      </c>
      <c r="F46" s="11">
        <f t="shared" si="24"/>
        <v>0</v>
      </c>
      <c r="G46" s="11"/>
      <c r="H46" s="540"/>
      <c r="I46" s="11">
        <f t="shared" si="25"/>
        <v>0</v>
      </c>
      <c r="J46" s="11"/>
      <c r="K46" s="11">
        <f>H46*E46</f>
        <v>0</v>
      </c>
      <c r="L46" s="48" t="s">
        <v>15</v>
      </c>
      <c r="N46" s="10"/>
    </row>
    <row r="47" spans="1:14" ht="17.25" customHeight="1" x14ac:dyDescent="0.25">
      <c r="A47" s="35">
        <f>_xlfn.AGGREGATE(3,3,$B$10:B47)</f>
        <v>38</v>
      </c>
      <c r="B47" s="107" t="s">
        <v>87</v>
      </c>
      <c r="C47" s="104" t="s">
        <v>0</v>
      </c>
      <c r="D47" s="105">
        <v>1</v>
      </c>
      <c r="E47" s="11">
        <f>E45*D47</f>
        <v>3</v>
      </c>
      <c r="F47" s="11">
        <f t="shared" si="24"/>
        <v>0</v>
      </c>
      <c r="G47" s="11"/>
      <c r="H47" s="540"/>
      <c r="I47" s="11">
        <f t="shared" si="25"/>
        <v>0</v>
      </c>
      <c r="J47" s="11"/>
      <c r="K47" s="11">
        <f>H47*E47</f>
        <v>0</v>
      </c>
      <c r="L47" s="48" t="s">
        <v>15</v>
      </c>
      <c r="N47" s="10"/>
    </row>
    <row r="48" spans="1:14" ht="32.25" customHeight="1" x14ac:dyDescent="0.25">
      <c r="A48" s="35">
        <f>_xlfn.AGGREGATE(3,3,$B$10:B48)</f>
        <v>39</v>
      </c>
      <c r="B48" s="107" t="s">
        <v>90</v>
      </c>
      <c r="C48" s="104" t="s">
        <v>0</v>
      </c>
      <c r="D48" s="105">
        <v>0.15</v>
      </c>
      <c r="E48" s="11">
        <f>ROUNDUP(E45*D48,0)</f>
        <v>1</v>
      </c>
      <c r="F48" s="11">
        <f t="shared" si="24"/>
        <v>0</v>
      </c>
      <c r="G48" s="11"/>
      <c r="H48" s="540"/>
      <c r="I48" s="11">
        <f t="shared" si="25"/>
        <v>0</v>
      </c>
      <c r="J48" s="11"/>
      <c r="K48" s="11">
        <f>H48*E48</f>
        <v>0</v>
      </c>
      <c r="L48" s="48" t="s">
        <v>15</v>
      </c>
      <c r="N48" s="10"/>
    </row>
    <row r="49" spans="1:14" ht="35.25" customHeight="1" x14ac:dyDescent="0.25">
      <c r="A49" s="528">
        <f>_xlfn.AGGREGATE(3,3,$B$10:B49)</f>
        <v>40</v>
      </c>
      <c r="B49" s="145" t="s">
        <v>117</v>
      </c>
      <c r="C49" s="126" t="s">
        <v>30</v>
      </c>
      <c r="D49" s="79"/>
      <c r="E49" s="80">
        <f>Расч.!N59</f>
        <v>15.24</v>
      </c>
      <c r="F49" s="537">
        <f t="shared" ref="F49:F54" si="26">G49+H49</f>
        <v>0</v>
      </c>
      <c r="G49" s="538"/>
      <c r="H49" s="537"/>
      <c r="I49" s="537">
        <f t="shared" ref="I49:I54" si="27">J49+K49</f>
        <v>0</v>
      </c>
      <c r="J49" s="539">
        <f>G49*E49</f>
        <v>0</v>
      </c>
      <c r="K49" s="537"/>
      <c r="L49" s="81"/>
      <c r="N49" s="10"/>
    </row>
    <row r="50" spans="1:14" ht="16.5" customHeight="1" x14ac:dyDescent="0.25">
      <c r="A50" s="35">
        <f>_xlfn.AGGREGATE(3,3,$B$10:B50)</f>
        <v>41</v>
      </c>
      <c r="B50" s="116" t="s">
        <v>31</v>
      </c>
      <c r="C50" s="82" t="s">
        <v>0</v>
      </c>
      <c r="D50" s="83">
        <v>5</v>
      </c>
      <c r="E50" s="84">
        <f>ROUND(E49*D50,0)</f>
        <v>76</v>
      </c>
      <c r="F50" s="11">
        <f t="shared" si="26"/>
        <v>0</v>
      </c>
      <c r="G50" s="11"/>
      <c r="H50" s="540"/>
      <c r="I50" s="11">
        <f t="shared" si="27"/>
        <v>0</v>
      </c>
      <c r="J50" s="11"/>
      <c r="K50" s="11">
        <f>H50*E50</f>
        <v>0</v>
      </c>
      <c r="L50" s="225" t="s">
        <v>223</v>
      </c>
      <c r="N50" s="10"/>
    </row>
    <row r="51" spans="1:14" ht="47.25" customHeight="1" x14ac:dyDescent="0.25">
      <c r="A51" s="35">
        <f>_xlfn.AGGREGATE(3,3,$B$10:B51)</f>
        <v>42</v>
      </c>
      <c r="B51" s="116" t="s">
        <v>221</v>
      </c>
      <c r="C51" s="86" t="s">
        <v>2</v>
      </c>
      <c r="D51" s="83">
        <v>1.1000000000000001</v>
      </c>
      <c r="E51" s="84">
        <f>ROUND(E49*D51,2)</f>
        <v>16.760000000000002</v>
      </c>
      <c r="F51" s="11">
        <f t="shared" si="26"/>
        <v>0</v>
      </c>
      <c r="G51" s="11"/>
      <c r="H51" s="540"/>
      <c r="I51" s="11">
        <f t="shared" si="27"/>
        <v>0</v>
      </c>
      <c r="J51" s="11"/>
      <c r="K51" s="11">
        <f>H51*E51</f>
        <v>0</v>
      </c>
      <c r="L51" s="225" t="s">
        <v>223</v>
      </c>
      <c r="N51" s="10"/>
    </row>
    <row r="52" spans="1:14" ht="29.25" customHeight="1" x14ac:dyDescent="0.25">
      <c r="A52" s="35">
        <f>_xlfn.AGGREGATE(3,3,$B$10:B52)</f>
        <v>43</v>
      </c>
      <c r="B52" s="238" t="s">
        <v>180</v>
      </c>
      <c r="C52" s="86" t="s">
        <v>2</v>
      </c>
      <c r="D52" s="83">
        <v>1.1000000000000001</v>
      </c>
      <c r="E52" s="84">
        <f>ROUND(E49*D52,2)</f>
        <v>16.760000000000002</v>
      </c>
      <c r="F52" s="11">
        <f t="shared" si="26"/>
        <v>0</v>
      </c>
      <c r="G52" s="11"/>
      <c r="H52" s="540"/>
      <c r="I52" s="11">
        <f t="shared" si="27"/>
        <v>0</v>
      </c>
      <c r="J52" s="11"/>
      <c r="K52" s="11">
        <f>H52*E52</f>
        <v>0</v>
      </c>
      <c r="L52" s="225" t="s">
        <v>223</v>
      </c>
      <c r="N52" s="10"/>
    </row>
    <row r="53" spans="1:14" ht="16.5" customHeight="1" x14ac:dyDescent="0.25">
      <c r="A53" s="35">
        <f>_xlfn.AGGREGATE(3,3,$B$10:B53)</f>
        <v>44</v>
      </c>
      <c r="B53" s="116" t="s">
        <v>54</v>
      </c>
      <c r="C53" s="86" t="s">
        <v>27</v>
      </c>
      <c r="D53" s="237">
        <v>0.1</v>
      </c>
      <c r="E53" s="84">
        <f>E49*D53</f>
        <v>1.52</v>
      </c>
      <c r="F53" s="11">
        <f t="shared" si="26"/>
        <v>0</v>
      </c>
      <c r="G53" s="11"/>
      <c r="H53" s="540"/>
      <c r="I53" s="11">
        <f t="shared" si="27"/>
        <v>0</v>
      </c>
      <c r="J53" s="11"/>
      <c r="K53" s="11">
        <f>H53*E53</f>
        <v>0</v>
      </c>
      <c r="L53" s="225" t="s">
        <v>223</v>
      </c>
      <c r="N53" s="10"/>
    </row>
    <row r="54" spans="1:14" ht="16.5" customHeight="1" x14ac:dyDescent="0.25">
      <c r="A54" s="35">
        <f>_xlfn.AGGREGATE(3,3,$B$10:B54)</f>
        <v>45</v>
      </c>
      <c r="B54" s="87" t="s">
        <v>34</v>
      </c>
      <c r="C54" s="88" t="s">
        <v>0</v>
      </c>
      <c r="D54" s="62">
        <v>3.32</v>
      </c>
      <c r="E54" s="84">
        <f>ROUND(E49*D54,0)</f>
        <v>51</v>
      </c>
      <c r="F54" s="11">
        <f t="shared" si="26"/>
        <v>0</v>
      </c>
      <c r="G54" s="11"/>
      <c r="H54" s="540"/>
      <c r="I54" s="11">
        <f t="shared" si="27"/>
        <v>0</v>
      </c>
      <c r="J54" s="11"/>
      <c r="K54" s="11">
        <f>H54*E54</f>
        <v>0</v>
      </c>
      <c r="L54" s="225" t="s">
        <v>223</v>
      </c>
      <c r="N54" s="10"/>
    </row>
    <row r="55" spans="1:14" ht="16.5" customHeight="1" x14ac:dyDescent="0.25">
      <c r="A55" s="528">
        <f>_xlfn.AGGREGATE(3,3,$B$10:B55)</f>
        <v>46</v>
      </c>
      <c r="B55" s="203" t="s">
        <v>64</v>
      </c>
      <c r="C55" s="204" t="s">
        <v>30</v>
      </c>
      <c r="D55" s="205"/>
      <c r="E55" s="15">
        <f>Расч.!N67</f>
        <v>17.7</v>
      </c>
      <c r="F55" s="537">
        <f t="shared" ref="F55:F58" si="28">G55+H55</f>
        <v>0</v>
      </c>
      <c r="G55" s="538"/>
      <c r="H55" s="537"/>
      <c r="I55" s="537">
        <f t="shared" ref="I55:I58" si="29">J55+K55</f>
        <v>0</v>
      </c>
      <c r="J55" s="539">
        <f>G55*E55</f>
        <v>0</v>
      </c>
      <c r="K55" s="537"/>
      <c r="L55" s="244"/>
      <c r="N55" s="10"/>
    </row>
    <row r="56" spans="1:14" ht="53.25" customHeight="1" x14ac:dyDescent="0.25">
      <c r="A56" s="35">
        <f>_xlfn.AGGREGATE(3,3,$B$10:B56)</f>
        <v>47</v>
      </c>
      <c r="B56" s="223" t="s">
        <v>222</v>
      </c>
      <c r="C56" s="245" t="s">
        <v>2</v>
      </c>
      <c r="D56" s="224">
        <v>1.1000000000000001</v>
      </c>
      <c r="E56" s="11">
        <f>E55*D56</f>
        <v>19.47</v>
      </c>
      <c r="F56" s="11">
        <f t="shared" si="28"/>
        <v>0</v>
      </c>
      <c r="G56" s="11"/>
      <c r="H56" s="540"/>
      <c r="I56" s="11">
        <f t="shared" si="29"/>
        <v>0</v>
      </c>
      <c r="J56" s="11"/>
      <c r="K56" s="11">
        <f>H56*E56</f>
        <v>0</v>
      </c>
      <c r="L56" s="225" t="s">
        <v>223</v>
      </c>
      <c r="N56" s="10"/>
    </row>
    <row r="57" spans="1:14" ht="16.5" customHeight="1" x14ac:dyDescent="0.25">
      <c r="A57" s="35">
        <f>_xlfn.AGGREGATE(3,3,$B$10:B57)</f>
        <v>48</v>
      </c>
      <c r="B57" s="287" t="s">
        <v>31</v>
      </c>
      <c r="C57" s="288" t="s">
        <v>0</v>
      </c>
      <c r="D57" s="289">
        <v>5</v>
      </c>
      <c r="E57" s="11">
        <f>ROUND(D57*E55,0)</f>
        <v>89</v>
      </c>
      <c r="F57" s="11">
        <f t="shared" si="28"/>
        <v>0</v>
      </c>
      <c r="G57" s="11"/>
      <c r="H57" s="540"/>
      <c r="I57" s="11">
        <f t="shared" si="29"/>
        <v>0</v>
      </c>
      <c r="J57" s="11"/>
      <c r="K57" s="11">
        <f>H57*E57</f>
        <v>0</v>
      </c>
      <c r="L57" s="246" t="s">
        <v>15</v>
      </c>
      <c r="N57" s="10"/>
    </row>
    <row r="58" spans="1:14" ht="16.5" customHeight="1" x14ac:dyDescent="0.25">
      <c r="A58" s="35">
        <f>_xlfn.AGGREGATE(3,3,$B$10:B58)</f>
        <v>49</v>
      </c>
      <c r="B58" s="223" t="s">
        <v>26</v>
      </c>
      <c r="C58" s="245" t="s">
        <v>27</v>
      </c>
      <c r="D58" s="247">
        <v>1.0149999999999999</v>
      </c>
      <c r="E58" s="11">
        <f>17.7*0.12*((0.03+0.01)/2)*D58</f>
        <v>0.04</v>
      </c>
      <c r="F58" s="11">
        <f t="shared" si="28"/>
        <v>0</v>
      </c>
      <c r="G58" s="11"/>
      <c r="H58" s="540"/>
      <c r="I58" s="11">
        <f t="shared" si="29"/>
        <v>0</v>
      </c>
      <c r="J58" s="11"/>
      <c r="K58" s="11">
        <f>H58*E58</f>
        <v>0</v>
      </c>
      <c r="L58" s="246" t="s">
        <v>15</v>
      </c>
      <c r="N58" s="10"/>
    </row>
    <row r="59" spans="1:14" x14ac:dyDescent="0.25">
      <c r="A59" s="528">
        <f>_xlfn.AGGREGATE(3,3,$B$10:B59)</f>
        <v>50</v>
      </c>
      <c r="B59" s="49" t="s">
        <v>59</v>
      </c>
      <c r="C59" s="125" t="s">
        <v>30</v>
      </c>
      <c r="D59" s="50"/>
      <c r="E59" s="15">
        <f>Расч.!N64</f>
        <v>66.099999999999994</v>
      </c>
      <c r="F59" s="537">
        <f t="shared" ref="F59:F62" si="30">G59+H59</f>
        <v>0</v>
      </c>
      <c r="G59" s="538"/>
      <c r="H59" s="537"/>
      <c r="I59" s="537">
        <f t="shared" ref="I59:I62" si="31">J59+K59</f>
        <v>0</v>
      </c>
      <c r="J59" s="539">
        <f>G59*E59</f>
        <v>0</v>
      </c>
      <c r="K59" s="537"/>
      <c r="L59" s="51"/>
      <c r="N59" s="10"/>
    </row>
    <row r="60" spans="1:14" x14ac:dyDescent="0.25">
      <c r="A60" s="35">
        <f>_xlfn.AGGREGATE(3,3,$B$10:B60)</f>
        <v>51</v>
      </c>
      <c r="B60" s="55" t="s">
        <v>31</v>
      </c>
      <c r="C60" s="54" t="s">
        <v>0</v>
      </c>
      <c r="D60" s="54">
        <v>5</v>
      </c>
      <c r="E60" s="61">
        <f>ROUND(E59*D60,0)</f>
        <v>331</v>
      </c>
      <c r="F60" s="11">
        <f t="shared" si="30"/>
        <v>0</v>
      </c>
      <c r="G60" s="11"/>
      <c r="H60" s="540"/>
      <c r="I60" s="11">
        <f t="shared" si="31"/>
        <v>0</v>
      </c>
      <c r="J60" s="11"/>
      <c r="K60" s="11">
        <f>H60*E60</f>
        <v>0</v>
      </c>
      <c r="L60" s="85" t="s">
        <v>36</v>
      </c>
      <c r="N60" s="10"/>
    </row>
    <row r="61" spans="1:14" ht="47.25" x14ac:dyDescent="0.25">
      <c r="A61" s="35">
        <f>_xlfn.AGGREGATE(3,3,$B$10:B61)</f>
        <v>52</v>
      </c>
      <c r="B61" s="55" t="s">
        <v>139</v>
      </c>
      <c r="C61" s="53" t="s">
        <v>2</v>
      </c>
      <c r="D61" s="54">
        <v>1.1000000000000001</v>
      </c>
      <c r="E61" s="11">
        <f>E59*D61</f>
        <v>72.709999999999994</v>
      </c>
      <c r="F61" s="11">
        <f t="shared" si="30"/>
        <v>0</v>
      </c>
      <c r="G61" s="11"/>
      <c r="H61" s="540"/>
      <c r="I61" s="11">
        <f t="shared" si="31"/>
        <v>0</v>
      </c>
      <c r="J61" s="11"/>
      <c r="K61" s="11">
        <f>H61*E61</f>
        <v>0</v>
      </c>
      <c r="L61" s="57" t="s">
        <v>95</v>
      </c>
      <c r="N61" s="10"/>
    </row>
    <row r="62" spans="1:14" x14ac:dyDescent="0.25">
      <c r="A62" s="35">
        <f>_xlfn.AGGREGATE(3,3,$B$10:B62)</f>
        <v>53</v>
      </c>
      <c r="B62" s="55" t="s">
        <v>34</v>
      </c>
      <c r="C62" s="53" t="s">
        <v>0</v>
      </c>
      <c r="D62" s="54">
        <v>1.66</v>
      </c>
      <c r="E62" s="11">
        <f>ROUND(D62*E59,0)</f>
        <v>110</v>
      </c>
      <c r="F62" s="11">
        <f t="shared" si="30"/>
        <v>0</v>
      </c>
      <c r="G62" s="11"/>
      <c r="H62" s="540"/>
      <c r="I62" s="11">
        <f t="shared" si="31"/>
        <v>0</v>
      </c>
      <c r="J62" s="11"/>
      <c r="K62" s="11">
        <f>H62*E62</f>
        <v>0</v>
      </c>
      <c r="L62" s="48" t="s">
        <v>15</v>
      </c>
      <c r="M62" s="26"/>
      <c r="N62" s="10"/>
    </row>
    <row r="63" spans="1:14" s="34" customFormat="1" x14ac:dyDescent="0.25">
      <c r="A63" s="17"/>
      <c r="B63" s="123" t="s">
        <v>63</v>
      </c>
      <c r="C63" s="18"/>
      <c r="D63" s="19"/>
      <c r="E63" s="19"/>
      <c r="F63" s="19"/>
      <c r="G63" s="19"/>
      <c r="H63" s="19"/>
      <c r="I63" s="19"/>
      <c r="J63" s="19"/>
      <c r="K63" s="19"/>
      <c r="L63" s="20"/>
    </row>
    <row r="64" spans="1:14" ht="63" x14ac:dyDescent="0.25">
      <c r="A64" s="529">
        <v>54</v>
      </c>
      <c r="B64" s="294" t="s">
        <v>224</v>
      </c>
      <c r="C64" s="295" t="s">
        <v>0</v>
      </c>
      <c r="D64" s="243"/>
      <c r="E64" s="15">
        <v>4</v>
      </c>
      <c r="F64" s="537">
        <f t="shared" ref="F64:F65" si="32">G64+H64</f>
        <v>0</v>
      </c>
      <c r="G64" s="538"/>
      <c r="H64" s="537"/>
      <c r="I64" s="537">
        <f t="shared" ref="I64:I65" si="33">J64+K64</f>
        <v>0</v>
      </c>
      <c r="J64" s="539">
        <f>G64*E64</f>
        <v>0</v>
      </c>
      <c r="K64" s="537"/>
      <c r="L64" s="244"/>
      <c r="M64" s="26"/>
      <c r="N64" s="10"/>
    </row>
    <row r="65" spans="1:14" x14ac:dyDescent="0.25">
      <c r="A65" s="222">
        <v>55</v>
      </c>
      <c r="B65" s="223" t="s">
        <v>225</v>
      </c>
      <c r="C65" s="296" t="s">
        <v>0</v>
      </c>
      <c r="D65" s="224">
        <v>1</v>
      </c>
      <c r="E65" s="297">
        <f>E64*D65</f>
        <v>4</v>
      </c>
      <c r="F65" s="11">
        <f t="shared" si="32"/>
        <v>0</v>
      </c>
      <c r="G65" s="11"/>
      <c r="H65" s="540"/>
      <c r="I65" s="11">
        <f t="shared" si="33"/>
        <v>0</v>
      </c>
      <c r="J65" s="11"/>
      <c r="K65" s="11">
        <f>H65*E65</f>
        <v>0</v>
      </c>
      <c r="L65" s="298" t="s">
        <v>226</v>
      </c>
      <c r="M65" s="26"/>
      <c r="N65" s="10"/>
    </row>
    <row r="66" spans="1:14" ht="63" x14ac:dyDescent="0.25">
      <c r="A66" s="529">
        <v>56</v>
      </c>
      <c r="B66" s="294" t="s">
        <v>224</v>
      </c>
      <c r="C66" s="295" t="s">
        <v>0</v>
      </c>
      <c r="D66" s="243"/>
      <c r="E66" s="15">
        <v>5</v>
      </c>
      <c r="F66" s="537">
        <f t="shared" ref="F66:F67" si="34">G66+H66</f>
        <v>0</v>
      </c>
      <c r="G66" s="538"/>
      <c r="H66" s="537"/>
      <c r="I66" s="537">
        <f t="shared" ref="I66:I67" si="35">J66+K66</f>
        <v>0</v>
      </c>
      <c r="J66" s="539">
        <f>G66*E66</f>
        <v>0</v>
      </c>
      <c r="K66" s="537"/>
      <c r="L66" s="244"/>
      <c r="M66" s="26"/>
      <c r="N66" s="10"/>
    </row>
    <row r="67" spans="1:14" x14ac:dyDescent="0.25">
      <c r="A67" s="222">
        <v>57</v>
      </c>
      <c r="B67" s="223" t="s">
        <v>227</v>
      </c>
      <c r="C67" s="296" t="s">
        <v>0</v>
      </c>
      <c r="D67" s="224">
        <v>1</v>
      </c>
      <c r="E67" s="297">
        <f>E66*D67</f>
        <v>5</v>
      </c>
      <c r="F67" s="11">
        <f t="shared" si="34"/>
        <v>0</v>
      </c>
      <c r="G67" s="11"/>
      <c r="H67" s="540"/>
      <c r="I67" s="11">
        <f t="shared" si="35"/>
        <v>0</v>
      </c>
      <c r="J67" s="11"/>
      <c r="K67" s="11">
        <f>H67*E67</f>
        <v>0</v>
      </c>
      <c r="L67" s="298" t="s">
        <v>226</v>
      </c>
      <c r="M67" s="26"/>
      <c r="N67" s="10"/>
    </row>
    <row r="68" spans="1:14" ht="63" x14ac:dyDescent="0.25">
      <c r="A68" s="529">
        <v>58</v>
      </c>
      <c r="B68" s="294" t="s">
        <v>224</v>
      </c>
      <c r="C68" s="295" t="s">
        <v>0</v>
      </c>
      <c r="D68" s="243"/>
      <c r="E68" s="15">
        <v>2</v>
      </c>
      <c r="F68" s="537">
        <f t="shared" ref="F68:F69" si="36">G68+H68</f>
        <v>0</v>
      </c>
      <c r="G68" s="538"/>
      <c r="H68" s="537"/>
      <c r="I68" s="537">
        <f t="shared" ref="I68:I69" si="37">J68+K68</f>
        <v>0</v>
      </c>
      <c r="J68" s="539">
        <f>G68*E68</f>
        <v>0</v>
      </c>
      <c r="K68" s="537"/>
      <c r="L68" s="244"/>
      <c r="M68" s="26"/>
      <c r="N68" s="10"/>
    </row>
    <row r="69" spans="1:14" x14ac:dyDescent="0.25">
      <c r="A69" s="222">
        <v>59</v>
      </c>
      <c r="B69" s="223" t="s">
        <v>228</v>
      </c>
      <c r="C69" s="296" t="s">
        <v>0</v>
      </c>
      <c r="D69" s="224">
        <v>1</v>
      </c>
      <c r="E69" s="297">
        <f>E68*D69</f>
        <v>2</v>
      </c>
      <c r="F69" s="11">
        <f t="shared" si="36"/>
        <v>0</v>
      </c>
      <c r="G69" s="11"/>
      <c r="H69" s="540"/>
      <c r="I69" s="11">
        <f t="shared" si="37"/>
        <v>0</v>
      </c>
      <c r="J69" s="11"/>
      <c r="K69" s="11">
        <f>H69*E69</f>
        <v>0</v>
      </c>
      <c r="L69" s="298" t="s">
        <v>226</v>
      </c>
      <c r="M69" s="26"/>
      <c r="N69" s="10"/>
    </row>
    <row r="70" spans="1:14" ht="63" x14ac:dyDescent="0.25">
      <c r="A70" s="529">
        <v>60</v>
      </c>
      <c r="B70" s="294" t="s">
        <v>229</v>
      </c>
      <c r="C70" s="295" t="s">
        <v>0</v>
      </c>
      <c r="D70" s="243"/>
      <c r="E70" s="15">
        <v>1</v>
      </c>
      <c r="F70" s="537">
        <f t="shared" ref="F70:F71" si="38">G70+H70</f>
        <v>0</v>
      </c>
      <c r="G70" s="538"/>
      <c r="H70" s="537"/>
      <c r="I70" s="537">
        <f t="shared" ref="I70:I71" si="39">J70+K70</f>
        <v>0</v>
      </c>
      <c r="J70" s="539">
        <f>G70*E70</f>
        <v>0</v>
      </c>
      <c r="K70" s="537"/>
      <c r="L70" s="244"/>
      <c r="M70" s="26"/>
      <c r="N70" s="10"/>
    </row>
    <row r="71" spans="1:14" x14ac:dyDescent="0.25">
      <c r="A71" s="222">
        <v>61</v>
      </c>
      <c r="B71" s="223" t="s">
        <v>230</v>
      </c>
      <c r="C71" s="296" t="s">
        <v>0</v>
      </c>
      <c r="D71" s="224">
        <v>1</v>
      </c>
      <c r="E71" s="297">
        <f>E70*D71</f>
        <v>1</v>
      </c>
      <c r="F71" s="11">
        <f t="shared" si="38"/>
        <v>0</v>
      </c>
      <c r="G71" s="11"/>
      <c r="H71" s="540"/>
      <c r="I71" s="11">
        <f t="shared" si="39"/>
        <v>0</v>
      </c>
      <c r="J71" s="11"/>
      <c r="K71" s="11">
        <f>H71*E71</f>
        <v>0</v>
      </c>
      <c r="L71" s="298" t="s">
        <v>226</v>
      </c>
      <c r="M71" s="26"/>
      <c r="N71" s="10"/>
    </row>
    <row r="72" spans="1:14" x14ac:dyDescent="0.25">
      <c r="A72" s="37"/>
      <c r="B72" s="123" t="s">
        <v>231</v>
      </c>
      <c r="C72" s="23"/>
      <c r="D72" s="24"/>
      <c r="E72" s="24"/>
      <c r="F72" s="24"/>
      <c r="G72" s="24"/>
      <c r="H72" s="24"/>
      <c r="I72" s="24"/>
      <c r="J72" s="24"/>
      <c r="K72" s="24"/>
      <c r="L72" s="25"/>
      <c r="N72" s="10"/>
    </row>
    <row r="73" spans="1:14" ht="31.5" x14ac:dyDescent="0.25">
      <c r="A73" s="528">
        <v>62</v>
      </c>
      <c r="B73" s="40" t="s">
        <v>217</v>
      </c>
      <c r="C73" s="124" t="s">
        <v>1</v>
      </c>
      <c r="D73" s="41"/>
      <c r="E73" s="42">
        <f>Расч.!O4+Расч.!O7*0.1</f>
        <v>11.28</v>
      </c>
      <c r="F73" s="537">
        <f t="shared" ref="F73:F74" si="40">G73+H73</f>
        <v>0</v>
      </c>
      <c r="G73" s="538"/>
      <c r="H73" s="537"/>
      <c r="I73" s="537">
        <f t="shared" ref="I73:I74" si="41">J73+K73</f>
        <v>0</v>
      </c>
      <c r="J73" s="539">
        <f>G73*E73</f>
        <v>0</v>
      </c>
      <c r="K73" s="537"/>
      <c r="L73" s="43"/>
      <c r="N73" s="10"/>
    </row>
    <row r="74" spans="1:14" x14ac:dyDescent="0.25">
      <c r="A74" s="35">
        <v>63</v>
      </c>
      <c r="B74" s="284" t="s">
        <v>218</v>
      </c>
      <c r="C74" s="44" t="s">
        <v>1</v>
      </c>
      <c r="D74" s="45">
        <v>1.1499999999999999</v>
      </c>
      <c r="E74" s="11">
        <f>E73*D74</f>
        <v>12.97</v>
      </c>
      <c r="F74" s="11">
        <f t="shared" si="40"/>
        <v>0</v>
      </c>
      <c r="G74" s="11"/>
      <c r="H74" s="540"/>
      <c r="I74" s="11">
        <f t="shared" si="41"/>
        <v>0</v>
      </c>
      <c r="J74" s="11"/>
      <c r="K74" s="11">
        <f>H74*E74</f>
        <v>0</v>
      </c>
      <c r="L74" s="46" t="s">
        <v>15</v>
      </c>
      <c r="N74" s="10"/>
    </row>
    <row r="75" spans="1:14" x14ac:dyDescent="0.25">
      <c r="A75" s="528">
        <v>64</v>
      </c>
      <c r="B75" s="49" t="s">
        <v>57</v>
      </c>
      <c r="C75" s="125" t="s">
        <v>1</v>
      </c>
      <c r="D75" s="50"/>
      <c r="E75" s="15">
        <f>Расч.!O4</f>
        <v>11.03</v>
      </c>
      <c r="F75" s="537">
        <f t="shared" ref="F75:F76" si="42">G75+H75</f>
        <v>0</v>
      </c>
      <c r="G75" s="538"/>
      <c r="H75" s="537"/>
      <c r="I75" s="537">
        <f t="shared" ref="I75:I76" si="43">J75+K75</f>
        <v>0</v>
      </c>
      <c r="J75" s="539">
        <f>G75*E75</f>
        <v>0</v>
      </c>
      <c r="K75" s="537"/>
      <c r="L75" s="51"/>
      <c r="N75" s="10"/>
    </row>
    <row r="76" spans="1:14" ht="31.5" x14ac:dyDescent="0.25">
      <c r="A76" s="35">
        <v>65</v>
      </c>
      <c r="B76" s="74" t="s">
        <v>81</v>
      </c>
      <c r="C76" s="53" t="s">
        <v>27</v>
      </c>
      <c r="D76" s="54">
        <v>1.1000000000000001</v>
      </c>
      <c r="E76" s="11">
        <f>E75*D76*0.1</f>
        <v>1.21</v>
      </c>
      <c r="F76" s="11">
        <f t="shared" si="42"/>
        <v>0</v>
      </c>
      <c r="G76" s="11"/>
      <c r="H76" s="540"/>
      <c r="I76" s="11">
        <f t="shared" si="43"/>
        <v>0</v>
      </c>
      <c r="J76" s="11"/>
      <c r="K76" s="11">
        <f>H76*E76</f>
        <v>0</v>
      </c>
      <c r="L76" s="48" t="s">
        <v>15</v>
      </c>
      <c r="N76" s="10"/>
    </row>
    <row r="77" spans="1:14" x14ac:dyDescent="0.25">
      <c r="A77" s="528">
        <v>66</v>
      </c>
      <c r="B77" s="49" t="s">
        <v>60</v>
      </c>
      <c r="C77" s="125" t="s">
        <v>1</v>
      </c>
      <c r="D77" s="50"/>
      <c r="E77" s="15">
        <f>E75</f>
        <v>11.03</v>
      </c>
      <c r="F77" s="537">
        <f t="shared" ref="F77:F78" si="44">G77+H77</f>
        <v>0</v>
      </c>
      <c r="G77" s="538"/>
      <c r="H77" s="537"/>
      <c r="I77" s="537">
        <f t="shared" ref="I77:I78" si="45">J77+K77</f>
        <v>0</v>
      </c>
      <c r="J77" s="539">
        <f>G77*E77</f>
        <v>0</v>
      </c>
      <c r="K77" s="537"/>
      <c r="L77" s="51"/>
      <c r="N77" s="10"/>
    </row>
    <row r="78" spans="1:14" x14ac:dyDescent="0.25">
      <c r="A78" s="35">
        <v>67</v>
      </c>
      <c r="B78" s="52" t="s">
        <v>29</v>
      </c>
      <c r="C78" s="53" t="s">
        <v>1</v>
      </c>
      <c r="D78" s="54">
        <v>1.1499999999999999</v>
      </c>
      <c r="E78" s="11">
        <f>E77*D78</f>
        <v>12.68</v>
      </c>
      <c r="F78" s="11">
        <f t="shared" si="44"/>
        <v>0</v>
      </c>
      <c r="G78" s="11"/>
      <c r="H78" s="540"/>
      <c r="I78" s="11">
        <f t="shared" si="45"/>
        <v>0</v>
      </c>
      <c r="J78" s="11"/>
      <c r="K78" s="11">
        <f>H78*E78</f>
        <v>0</v>
      </c>
      <c r="L78" s="48" t="s">
        <v>15</v>
      </c>
      <c r="N78" s="10"/>
    </row>
    <row r="79" spans="1:14" ht="47.25" x14ac:dyDescent="0.25">
      <c r="A79" s="528">
        <v>68</v>
      </c>
      <c r="B79" s="49" t="s">
        <v>94</v>
      </c>
      <c r="C79" s="125" t="s">
        <v>1</v>
      </c>
      <c r="D79" s="50"/>
      <c r="E79" s="15">
        <f>E77</f>
        <v>11.03</v>
      </c>
      <c r="F79" s="537">
        <f t="shared" ref="F79:F81" si="46">G79+H79</f>
        <v>0</v>
      </c>
      <c r="G79" s="538"/>
      <c r="H79" s="537"/>
      <c r="I79" s="537">
        <f t="shared" ref="I79:I81" si="47">J79+K79</f>
        <v>0</v>
      </c>
      <c r="J79" s="539">
        <f>G79*E79</f>
        <v>0</v>
      </c>
      <c r="K79" s="537"/>
      <c r="L79" s="51"/>
      <c r="N79" s="10"/>
    </row>
    <row r="80" spans="1:14" x14ac:dyDescent="0.25">
      <c r="A80" s="35">
        <v>69</v>
      </c>
      <c r="B80" s="55" t="s">
        <v>26</v>
      </c>
      <c r="C80" s="53" t="s">
        <v>27</v>
      </c>
      <c r="D80" s="56">
        <v>1.0149999999999999</v>
      </c>
      <c r="E80" s="11">
        <f>Расч.!T7*D80</f>
        <v>0.71</v>
      </c>
      <c r="F80" s="11">
        <f t="shared" si="46"/>
        <v>0</v>
      </c>
      <c r="G80" s="11"/>
      <c r="H80" s="540"/>
      <c r="I80" s="11">
        <f t="shared" si="47"/>
        <v>0</v>
      </c>
      <c r="J80" s="11"/>
      <c r="K80" s="11">
        <f>H80*E80</f>
        <v>0</v>
      </c>
      <c r="L80" s="48" t="s">
        <v>15</v>
      </c>
      <c r="N80" s="10"/>
    </row>
    <row r="81" spans="1:14" x14ac:dyDescent="0.25">
      <c r="A81" s="35">
        <v>70</v>
      </c>
      <c r="B81" s="55" t="s">
        <v>37</v>
      </c>
      <c r="C81" s="53" t="s">
        <v>1</v>
      </c>
      <c r="D81" s="54">
        <v>1.2</v>
      </c>
      <c r="E81" s="11">
        <f>E79*D81</f>
        <v>13.24</v>
      </c>
      <c r="F81" s="11">
        <f t="shared" si="46"/>
        <v>0</v>
      </c>
      <c r="G81" s="11"/>
      <c r="H81" s="540"/>
      <c r="I81" s="11">
        <f t="shared" si="47"/>
        <v>0</v>
      </c>
      <c r="J81" s="11"/>
      <c r="K81" s="11">
        <f>H81*E81</f>
        <v>0</v>
      </c>
      <c r="L81" s="57" t="s">
        <v>15</v>
      </c>
      <c r="N81" s="10"/>
    </row>
    <row r="82" spans="1:14" ht="35.25" customHeight="1" x14ac:dyDescent="0.25">
      <c r="A82" s="528">
        <v>71</v>
      </c>
      <c r="B82" s="66" t="s">
        <v>61</v>
      </c>
      <c r="C82" s="127" t="s">
        <v>30</v>
      </c>
      <c r="D82" s="68"/>
      <c r="E82" s="15">
        <f>Расч.!O7</f>
        <v>2.54</v>
      </c>
      <c r="F82" s="537">
        <f t="shared" ref="F82:F83" si="48">G82+H82</f>
        <v>0</v>
      </c>
      <c r="G82" s="538"/>
      <c r="H82" s="537"/>
      <c r="I82" s="537">
        <f t="shared" ref="I82:I83" si="49">J82+K82</f>
        <v>0</v>
      </c>
      <c r="J82" s="539">
        <f>G82*E82</f>
        <v>0</v>
      </c>
      <c r="K82" s="537"/>
      <c r="L82" s="51"/>
      <c r="N82" s="10"/>
    </row>
    <row r="83" spans="1:14" x14ac:dyDescent="0.25">
      <c r="A83" s="35">
        <v>72</v>
      </c>
      <c r="B83" s="71" t="s">
        <v>26</v>
      </c>
      <c r="C83" s="63" t="s">
        <v>27</v>
      </c>
      <c r="D83" s="72">
        <v>5.0000000000000001E-3</v>
      </c>
      <c r="E83" s="11">
        <f>D83*E82</f>
        <v>0.01</v>
      </c>
      <c r="F83" s="11">
        <f t="shared" si="48"/>
        <v>0</v>
      </c>
      <c r="G83" s="11"/>
      <c r="H83" s="540"/>
      <c r="I83" s="11">
        <f t="shared" si="49"/>
        <v>0</v>
      </c>
      <c r="J83" s="11"/>
      <c r="K83" s="11">
        <f>H83*E83</f>
        <v>0</v>
      </c>
      <c r="L83" s="48" t="s">
        <v>15</v>
      </c>
      <c r="N83" s="10"/>
    </row>
    <row r="84" spans="1:14" ht="47.25" x14ac:dyDescent="0.25">
      <c r="A84" s="528">
        <v>73</v>
      </c>
      <c r="B84" s="49" t="s">
        <v>83</v>
      </c>
      <c r="C84" s="125" t="s">
        <v>1</v>
      </c>
      <c r="D84" s="50"/>
      <c r="E84" s="15">
        <f>Расч.!O4+Расч.!O7*0.3</f>
        <v>11.79</v>
      </c>
      <c r="F84" s="537">
        <f t="shared" ref="F84:F85" si="50">G84+H84</f>
        <v>0</v>
      </c>
      <c r="G84" s="538"/>
      <c r="H84" s="537"/>
      <c r="I84" s="537">
        <f t="shared" ref="I84:I85" si="51">J84+K84</f>
        <v>0</v>
      </c>
      <c r="J84" s="539">
        <f>G84*E84</f>
        <v>0</v>
      </c>
      <c r="K84" s="537"/>
      <c r="L84" s="51"/>
      <c r="N84" s="10"/>
    </row>
    <row r="85" spans="1:14" ht="31.5" x14ac:dyDescent="0.25">
      <c r="A85" s="35">
        <v>74</v>
      </c>
      <c r="B85" s="55" t="s">
        <v>84</v>
      </c>
      <c r="C85" s="53" t="s">
        <v>25</v>
      </c>
      <c r="D85" s="54">
        <v>0.35</v>
      </c>
      <c r="E85" s="11">
        <f>E84*D85</f>
        <v>4.13</v>
      </c>
      <c r="F85" s="11">
        <f t="shared" si="50"/>
        <v>0</v>
      </c>
      <c r="G85" s="11"/>
      <c r="H85" s="540"/>
      <c r="I85" s="11">
        <f t="shared" si="51"/>
        <v>0</v>
      </c>
      <c r="J85" s="11"/>
      <c r="K85" s="11">
        <f>H85*E85</f>
        <v>0</v>
      </c>
      <c r="L85" s="57" t="s">
        <v>15</v>
      </c>
      <c r="N85" s="10"/>
    </row>
    <row r="86" spans="1:14" ht="31.5" x14ac:dyDescent="0.25">
      <c r="A86" s="528">
        <v>75</v>
      </c>
      <c r="B86" s="49" t="s">
        <v>58</v>
      </c>
      <c r="C86" s="125" t="s">
        <v>1</v>
      </c>
      <c r="D86" s="50"/>
      <c r="E86" s="15">
        <f>E79</f>
        <v>11.03</v>
      </c>
      <c r="F86" s="537">
        <f t="shared" ref="F86:F89" si="52">G86+H86</f>
        <v>0</v>
      </c>
      <c r="G86" s="538"/>
      <c r="H86" s="537"/>
      <c r="I86" s="537">
        <f t="shared" ref="I86:I89" si="53">J86+K86</f>
        <v>0</v>
      </c>
      <c r="J86" s="539">
        <f>G86*E86</f>
        <v>0</v>
      </c>
      <c r="K86" s="537"/>
      <c r="L86" s="51"/>
      <c r="N86" s="10"/>
    </row>
    <row r="87" spans="1:14" x14ac:dyDescent="0.25">
      <c r="A87" s="35">
        <v>76</v>
      </c>
      <c r="B87" s="223" t="s">
        <v>68</v>
      </c>
      <c r="C87" s="245" t="s">
        <v>1</v>
      </c>
      <c r="D87" s="224">
        <v>1.1599999999999999</v>
      </c>
      <c r="E87" s="11">
        <f>E86*D87</f>
        <v>12.79</v>
      </c>
      <c r="F87" s="11">
        <f t="shared" si="52"/>
        <v>0</v>
      </c>
      <c r="G87" s="11"/>
      <c r="H87" s="540"/>
      <c r="I87" s="11">
        <f t="shared" si="53"/>
        <v>0</v>
      </c>
      <c r="J87" s="11"/>
      <c r="K87" s="11">
        <f>H87*E87</f>
        <v>0</v>
      </c>
      <c r="L87" s="57" t="s">
        <v>15</v>
      </c>
      <c r="N87" s="10"/>
    </row>
    <row r="88" spans="1:14" x14ac:dyDescent="0.25">
      <c r="A88" s="35">
        <v>77</v>
      </c>
      <c r="B88" s="223" t="s">
        <v>219</v>
      </c>
      <c r="C88" s="245" t="s">
        <v>1</v>
      </c>
      <c r="D88" s="224">
        <v>1.1399999999999999</v>
      </c>
      <c r="E88" s="11">
        <f>E86*D88</f>
        <v>12.57</v>
      </c>
      <c r="F88" s="11">
        <f t="shared" si="52"/>
        <v>0</v>
      </c>
      <c r="G88" s="11"/>
      <c r="H88" s="540"/>
      <c r="I88" s="11">
        <f t="shared" si="53"/>
        <v>0</v>
      </c>
      <c r="J88" s="11"/>
      <c r="K88" s="11">
        <f>H88*E88</f>
        <v>0</v>
      </c>
      <c r="L88" s="57" t="s">
        <v>15</v>
      </c>
      <c r="N88" s="10"/>
    </row>
    <row r="89" spans="1:14" x14ac:dyDescent="0.25">
      <c r="A89" s="35">
        <v>78</v>
      </c>
      <c r="B89" s="223" t="s">
        <v>28</v>
      </c>
      <c r="C89" s="285" t="s">
        <v>3</v>
      </c>
      <c r="D89" s="299">
        <v>0.6</v>
      </c>
      <c r="E89" s="11">
        <f>E86*D89</f>
        <v>6.62</v>
      </c>
      <c r="F89" s="11">
        <f t="shared" si="52"/>
        <v>0</v>
      </c>
      <c r="G89" s="11"/>
      <c r="H89" s="540"/>
      <c r="I89" s="11">
        <f t="shared" si="53"/>
        <v>0</v>
      </c>
      <c r="J89" s="11"/>
      <c r="K89" s="11">
        <f>H89*E89</f>
        <v>0</v>
      </c>
      <c r="L89" s="106" t="s">
        <v>15</v>
      </c>
      <c r="N89" s="10"/>
    </row>
    <row r="90" spans="1:14" ht="31.5" x14ac:dyDescent="0.25">
      <c r="A90" s="528">
        <v>79</v>
      </c>
      <c r="B90" s="49" t="s">
        <v>35</v>
      </c>
      <c r="C90" s="125" t="s">
        <v>30</v>
      </c>
      <c r="D90" s="50"/>
      <c r="E90" s="15">
        <f>E82</f>
        <v>2.54</v>
      </c>
      <c r="F90" s="537">
        <f t="shared" ref="F90:F97" si="54">G90+H90</f>
        <v>0</v>
      </c>
      <c r="G90" s="538"/>
      <c r="H90" s="537"/>
      <c r="I90" s="537">
        <f t="shared" ref="I90:I97" si="55">J90+K90</f>
        <v>0</v>
      </c>
      <c r="J90" s="539">
        <f>G90*E90</f>
        <v>0</v>
      </c>
      <c r="K90" s="537"/>
      <c r="L90" s="51"/>
      <c r="N90" s="10"/>
    </row>
    <row r="91" spans="1:14" x14ac:dyDescent="0.25">
      <c r="A91" s="35">
        <v>80</v>
      </c>
      <c r="B91" s="223" t="s">
        <v>68</v>
      </c>
      <c r="C91" s="245" t="s">
        <v>1</v>
      </c>
      <c r="D91" s="224">
        <v>1.1599999999999999</v>
      </c>
      <c r="E91" s="11">
        <f>E90*0.5*D91</f>
        <v>1.47</v>
      </c>
      <c r="F91" s="11">
        <f t="shared" si="54"/>
        <v>0</v>
      </c>
      <c r="G91" s="11"/>
      <c r="H91" s="540"/>
      <c r="I91" s="11">
        <f t="shared" si="55"/>
        <v>0</v>
      </c>
      <c r="J91" s="11"/>
      <c r="K91" s="11">
        <f>H91*E91</f>
        <v>0</v>
      </c>
      <c r="L91" s="48" t="s">
        <v>15</v>
      </c>
      <c r="N91" s="10"/>
    </row>
    <row r="92" spans="1:14" x14ac:dyDescent="0.25">
      <c r="A92" s="35">
        <v>81</v>
      </c>
      <c r="B92" s="223" t="s">
        <v>219</v>
      </c>
      <c r="C92" s="245" t="s">
        <v>1</v>
      </c>
      <c r="D92" s="224">
        <v>1.1399999999999999</v>
      </c>
      <c r="E92" s="11">
        <f>E90*0.4*D92</f>
        <v>1.1599999999999999</v>
      </c>
      <c r="F92" s="11">
        <f t="shared" si="54"/>
        <v>0</v>
      </c>
      <c r="G92" s="11"/>
      <c r="H92" s="540"/>
      <c r="I92" s="11">
        <f t="shared" si="55"/>
        <v>0</v>
      </c>
      <c r="J92" s="11"/>
      <c r="K92" s="11">
        <f>H92*E92</f>
        <v>0</v>
      </c>
      <c r="L92" s="48" t="s">
        <v>15</v>
      </c>
      <c r="N92" s="10"/>
    </row>
    <row r="93" spans="1:14" x14ac:dyDescent="0.25">
      <c r="A93" s="35">
        <v>82</v>
      </c>
      <c r="B93" s="223" t="s">
        <v>86</v>
      </c>
      <c r="C93" s="245" t="s">
        <v>1</v>
      </c>
      <c r="D93" s="224">
        <v>1.1399999999999999</v>
      </c>
      <c r="E93" s="11">
        <f>E90*0.25*D93</f>
        <v>0.72</v>
      </c>
      <c r="F93" s="11">
        <f t="shared" si="54"/>
        <v>0</v>
      </c>
      <c r="G93" s="11"/>
      <c r="H93" s="540"/>
      <c r="I93" s="11">
        <f t="shared" si="55"/>
        <v>0</v>
      </c>
      <c r="J93" s="11"/>
      <c r="K93" s="11">
        <f>H93*E93</f>
        <v>0</v>
      </c>
      <c r="L93" s="106" t="s">
        <v>15</v>
      </c>
      <c r="N93" s="10"/>
    </row>
    <row r="94" spans="1:14" x14ac:dyDescent="0.25">
      <c r="A94" s="35">
        <v>83</v>
      </c>
      <c r="B94" s="55" t="s">
        <v>28</v>
      </c>
      <c r="C94" s="47" t="s">
        <v>3</v>
      </c>
      <c r="D94" s="54">
        <v>0.6</v>
      </c>
      <c r="E94" s="11">
        <f>E90*D94</f>
        <v>1.52</v>
      </c>
      <c r="F94" s="11">
        <f t="shared" si="54"/>
        <v>0</v>
      </c>
      <c r="G94" s="11"/>
      <c r="H94" s="540"/>
      <c r="I94" s="11">
        <f t="shared" si="55"/>
        <v>0</v>
      </c>
      <c r="J94" s="11"/>
      <c r="K94" s="11">
        <f>H94*E94</f>
        <v>0</v>
      </c>
      <c r="L94" s="106" t="s">
        <v>15</v>
      </c>
      <c r="N94" s="10"/>
    </row>
    <row r="95" spans="1:14" ht="31.5" x14ac:dyDescent="0.25">
      <c r="A95" s="35">
        <v>84</v>
      </c>
      <c r="B95" s="55" t="s">
        <v>43</v>
      </c>
      <c r="C95" s="58" t="s">
        <v>2</v>
      </c>
      <c r="D95" s="54">
        <v>1.03</v>
      </c>
      <c r="E95" s="11">
        <f>E90*D95</f>
        <v>2.62</v>
      </c>
      <c r="F95" s="11">
        <f t="shared" si="54"/>
        <v>0</v>
      </c>
      <c r="G95" s="11"/>
      <c r="H95" s="540"/>
      <c r="I95" s="11">
        <f t="shared" si="55"/>
        <v>0</v>
      </c>
      <c r="J95" s="11"/>
      <c r="K95" s="11">
        <f>H95*E95</f>
        <v>0</v>
      </c>
      <c r="L95" s="48" t="s">
        <v>15</v>
      </c>
      <c r="N95" s="10"/>
    </row>
    <row r="96" spans="1:14" x14ac:dyDescent="0.25">
      <c r="A96" s="35">
        <v>85</v>
      </c>
      <c r="B96" s="55" t="s">
        <v>31</v>
      </c>
      <c r="C96" s="59" t="s">
        <v>0</v>
      </c>
      <c r="D96" s="54">
        <v>5</v>
      </c>
      <c r="E96" s="11">
        <f>ROUND(E90*D96,0)</f>
        <v>13</v>
      </c>
      <c r="F96" s="11">
        <f t="shared" si="54"/>
        <v>0</v>
      </c>
      <c r="G96" s="11"/>
      <c r="H96" s="540"/>
      <c r="I96" s="11">
        <f t="shared" si="55"/>
        <v>0</v>
      </c>
      <c r="J96" s="11"/>
      <c r="K96" s="11">
        <f>H96*E96</f>
        <v>0</v>
      </c>
      <c r="L96" s="48" t="s">
        <v>15</v>
      </c>
      <c r="N96" s="10"/>
    </row>
    <row r="97" spans="1:14" ht="31.5" x14ac:dyDescent="0.25">
      <c r="A97" s="35">
        <v>86</v>
      </c>
      <c r="B97" s="55" t="s">
        <v>69</v>
      </c>
      <c r="C97" s="60" t="s">
        <v>0</v>
      </c>
      <c r="D97" s="54">
        <v>0.15</v>
      </c>
      <c r="E97" s="11">
        <f>ROUNDUP(E90*D97,0)</f>
        <v>1</v>
      </c>
      <c r="F97" s="11">
        <f t="shared" si="54"/>
        <v>0</v>
      </c>
      <c r="G97" s="11"/>
      <c r="H97" s="540"/>
      <c r="I97" s="11">
        <f t="shared" si="55"/>
        <v>0</v>
      </c>
      <c r="J97" s="11"/>
      <c r="K97" s="11">
        <f>H97*E97</f>
        <v>0</v>
      </c>
      <c r="L97" s="48" t="s">
        <v>15</v>
      </c>
      <c r="N97" s="10"/>
    </row>
    <row r="98" spans="1:14" x14ac:dyDescent="0.25">
      <c r="A98" s="528">
        <v>87</v>
      </c>
      <c r="B98" s="49" t="s">
        <v>59</v>
      </c>
      <c r="C98" s="125" t="s">
        <v>30</v>
      </c>
      <c r="D98" s="50"/>
      <c r="E98" s="15">
        <f>Расч.!O62</f>
        <v>7.3</v>
      </c>
      <c r="F98" s="537">
        <f t="shared" ref="F98:F102" si="56">G98+H98</f>
        <v>0</v>
      </c>
      <c r="G98" s="538"/>
      <c r="H98" s="537"/>
      <c r="I98" s="537">
        <f t="shared" ref="I98:I102" si="57">J98+K98</f>
        <v>0</v>
      </c>
      <c r="J98" s="539">
        <f>G98*E98</f>
        <v>0</v>
      </c>
      <c r="K98" s="537"/>
      <c r="L98" s="51"/>
      <c r="N98" s="10"/>
    </row>
    <row r="99" spans="1:14" x14ac:dyDescent="0.25">
      <c r="A99" s="35">
        <v>88</v>
      </c>
      <c r="B99" s="55" t="s">
        <v>31</v>
      </c>
      <c r="C99" s="54" t="s">
        <v>0</v>
      </c>
      <c r="D99" s="54">
        <v>5</v>
      </c>
      <c r="E99" s="61">
        <f>ROUND(E98*D99,0)</f>
        <v>37</v>
      </c>
      <c r="F99" s="11">
        <f t="shared" si="56"/>
        <v>0</v>
      </c>
      <c r="G99" s="11"/>
      <c r="H99" s="540"/>
      <c r="I99" s="11">
        <f t="shared" si="57"/>
        <v>0</v>
      </c>
      <c r="J99" s="11"/>
      <c r="K99" s="11">
        <f>H99*E99</f>
        <v>0</v>
      </c>
      <c r="L99" s="48" t="s">
        <v>15</v>
      </c>
      <c r="N99" s="10"/>
    </row>
    <row r="100" spans="1:14" ht="47.25" x14ac:dyDescent="0.25">
      <c r="A100" s="35">
        <v>89</v>
      </c>
      <c r="B100" s="223" t="s">
        <v>232</v>
      </c>
      <c r="C100" s="53" t="s">
        <v>2</v>
      </c>
      <c r="D100" s="54">
        <v>1.1000000000000001</v>
      </c>
      <c r="E100" s="11">
        <f>E98*D100</f>
        <v>8.0299999999999994</v>
      </c>
      <c r="F100" s="11">
        <f t="shared" si="56"/>
        <v>0</v>
      </c>
      <c r="G100" s="11"/>
      <c r="H100" s="540"/>
      <c r="I100" s="11">
        <f t="shared" si="57"/>
        <v>0</v>
      </c>
      <c r="J100" s="11"/>
      <c r="K100" s="11">
        <f>H100*E100</f>
        <v>0</v>
      </c>
      <c r="L100" s="48" t="s">
        <v>15</v>
      </c>
      <c r="N100" s="10"/>
    </row>
    <row r="101" spans="1:14" x14ac:dyDescent="0.25">
      <c r="A101" s="35">
        <v>90</v>
      </c>
      <c r="B101" s="55" t="s">
        <v>34</v>
      </c>
      <c r="C101" s="53" t="s">
        <v>0</v>
      </c>
      <c r="D101" s="54">
        <v>1.66</v>
      </c>
      <c r="E101" s="11">
        <f>ROUND(D101*E98,0)</f>
        <v>12</v>
      </c>
      <c r="F101" s="11">
        <f t="shared" si="56"/>
        <v>0</v>
      </c>
      <c r="G101" s="11"/>
      <c r="H101" s="540"/>
      <c r="I101" s="11">
        <f t="shared" si="57"/>
        <v>0</v>
      </c>
      <c r="J101" s="11"/>
      <c r="K101" s="11">
        <f>H101*E101</f>
        <v>0</v>
      </c>
      <c r="L101" s="48" t="s">
        <v>15</v>
      </c>
      <c r="N101" s="10"/>
    </row>
    <row r="102" spans="1:14" x14ac:dyDescent="0.25">
      <c r="A102" s="35">
        <v>91</v>
      </c>
      <c r="B102" s="55" t="s">
        <v>26</v>
      </c>
      <c r="C102" s="53" t="s">
        <v>27</v>
      </c>
      <c r="D102" s="56">
        <v>1.0149999999999999</v>
      </c>
      <c r="E102" s="11">
        <f>E98*0.12*0.03*D102</f>
        <v>0.03</v>
      </c>
      <c r="F102" s="11">
        <f t="shared" si="56"/>
        <v>0</v>
      </c>
      <c r="G102" s="11"/>
      <c r="H102" s="540"/>
      <c r="I102" s="11">
        <f t="shared" si="57"/>
        <v>0</v>
      </c>
      <c r="J102" s="11"/>
      <c r="K102" s="11">
        <f>H102*E102</f>
        <v>0</v>
      </c>
      <c r="L102" s="48" t="s">
        <v>15</v>
      </c>
      <c r="N102" s="10"/>
    </row>
    <row r="103" spans="1:14" x14ac:dyDescent="0.25">
      <c r="A103" s="528">
        <v>92</v>
      </c>
      <c r="B103" s="241" t="s">
        <v>64</v>
      </c>
      <c r="C103" s="295" t="s">
        <v>30</v>
      </c>
      <c r="D103" s="243"/>
      <c r="E103" s="15">
        <f>Расч.!O59</f>
        <v>14.1</v>
      </c>
      <c r="F103" s="537">
        <f t="shared" ref="F103:F105" si="58">G103+H103</f>
        <v>0</v>
      </c>
      <c r="G103" s="538"/>
      <c r="H103" s="537"/>
      <c r="I103" s="537">
        <f t="shared" ref="I103:I105" si="59">J103+K103</f>
        <v>0</v>
      </c>
      <c r="J103" s="539">
        <f>G103*E103</f>
        <v>0</v>
      </c>
      <c r="K103" s="537"/>
      <c r="L103" s="244"/>
      <c r="N103" s="10"/>
    </row>
    <row r="104" spans="1:14" ht="33" customHeight="1" x14ac:dyDescent="0.25">
      <c r="A104" s="35">
        <v>93</v>
      </c>
      <c r="B104" s="223" t="s">
        <v>233</v>
      </c>
      <c r="C104" s="245" t="s">
        <v>2</v>
      </c>
      <c r="D104" s="224">
        <v>1.1000000000000001</v>
      </c>
      <c r="E104" s="11">
        <f>E103*D104</f>
        <v>15.51</v>
      </c>
      <c r="F104" s="11">
        <f t="shared" si="58"/>
        <v>0</v>
      </c>
      <c r="G104" s="11"/>
      <c r="H104" s="540"/>
      <c r="I104" s="11">
        <f t="shared" si="59"/>
        <v>0</v>
      </c>
      <c r="J104" s="11"/>
      <c r="K104" s="11">
        <f>H104*E104</f>
        <v>0</v>
      </c>
      <c r="L104" s="225" t="s">
        <v>144</v>
      </c>
      <c r="N104" s="10"/>
    </row>
    <row r="105" spans="1:14" x14ac:dyDescent="0.25">
      <c r="A105" s="35">
        <v>94</v>
      </c>
      <c r="B105" s="55" t="s">
        <v>31</v>
      </c>
      <c r="C105" s="59" t="s">
        <v>0</v>
      </c>
      <c r="D105" s="54">
        <v>5</v>
      </c>
      <c r="E105" s="11">
        <f>ROUND(D105*E103,0)</f>
        <v>71</v>
      </c>
      <c r="F105" s="11">
        <f t="shared" si="58"/>
        <v>0</v>
      </c>
      <c r="G105" s="11"/>
      <c r="H105" s="540"/>
      <c r="I105" s="11">
        <f t="shared" si="59"/>
        <v>0</v>
      </c>
      <c r="J105" s="11"/>
      <c r="K105" s="11">
        <f>H105*E105</f>
        <v>0</v>
      </c>
      <c r="L105" s="246" t="s">
        <v>15</v>
      </c>
      <c r="N105" s="10"/>
    </row>
    <row r="106" spans="1:14" x14ac:dyDescent="0.25">
      <c r="A106" s="36"/>
      <c r="B106" s="3" t="s">
        <v>96</v>
      </c>
      <c r="C106" s="4"/>
      <c r="D106" s="27"/>
      <c r="E106" s="27"/>
      <c r="F106" s="27"/>
      <c r="G106" s="27"/>
      <c r="H106" s="27"/>
      <c r="I106" s="27"/>
      <c r="J106" s="27"/>
      <c r="K106" s="27"/>
      <c r="L106" s="28"/>
      <c r="M106" s="34"/>
      <c r="N106" s="10"/>
    </row>
    <row r="107" spans="1:14" x14ac:dyDescent="0.25">
      <c r="A107" s="37"/>
      <c r="B107" s="21" t="s">
        <v>56</v>
      </c>
      <c r="C107" s="18"/>
      <c r="D107" s="19"/>
      <c r="E107" s="19"/>
      <c r="F107" s="19"/>
      <c r="G107" s="19"/>
      <c r="H107" s="19"/>
      <c r="I107" s="19"/>
      <c r="J107" s="19"/>
      <c r="K107" s="19"/>
      <c r="L107" s="20"/>
      <c r="M107" s="34"/>
      <c r="N107" s="10"/>
    </row>
    <row r="108" spans="1:14" ht="31.5" x14ac:dyDescent="0.25">
      <c r="A108" s="528">
        <v>95</v>
      </c>
      <c r="B108" s="131" t="s">
        <v>217</v>
      </c>
      <c r="C108" s="135" t="s">
        <v>1</v>
      </c>
      <c r="D108" s="133"/>
      <c r="E108" s="69">
        <f>Расч.!E11+Расч.!E14*0.1</f>
        <v>420.87</v>
      </c>
      <c r="F108" s="537">
        <f t="shared" ref="F108:F109" si="60">G108+H108</f>
        <v>0</v>
      </c>
      <c r="G108" s="538"/>
      <c r="H108" s="537"/>
      <c r="I108" s="537">
        <f t="shared" ref="I108:I109" si="61">J108+K108</f>
        <v>0</v>
      </c>
      <c r="J108" s="539">
        <f>G108*E108</f>
        <v>0</v>
      </c>
      <c r="K108" s="537"/>
      <c r="L108" s="70"/>
      <c r="M108" s="34"/>
      <c r="N108" s="10"/>
    </row>
    <row r="109" spans="1:14" x14ac:dyDescent="0.25">
      <c r="A109" s="35">
        <v>96</v>
      </c>
      <c r="B109" s="284" t="s">
        <v>218</v>
      </c>
      <c r="C109" s="102" t="s">
        <v>1</v>
      </c>
      <c r="D109" s="103">
        <v>1.1499999999999999</v>
      </c>
      <c r="E109" s="11">
        <f>E108*D109</f>
        <v>484</v>
      </c>
      <c r="F109" s="11">
        <f t="shared" si="60"/>
        <v>0</v>
      </c>
      <c r="G109" s="11"/>
      <c r="H109" s="540"/>
      <c r="I109" s="11">
        <f t="shared" si="61"/>
        <v>0</v>
      </c>
      <c r="J109" s="11"/>
      <c r="K109" s="11">
        <f>H109*E109</f>
        <v>0</v>
      </c>
      <c r="L109" s="73" t="s">
        <v>15</v>
      </c>
      <c r="N109" s="10"/>
    </row>
    <row r="110" spans="1:14" x14ac:dyDescent="0.25">
      <c r="A110" s="528">
        <v>97</v>
      </c>
      <c r="B110" s="66" t="s">
        <v>57</v>
      </c>
      <c r="C110" s="127" t="s">
        <v>1</v>
      </c>
      <c r="D110" s="68"/>
      <c r="E110" s="15">
        <f>Расч.!E11</f>
        <v>405</v>
      </c>
      <c r="F110" s="537">
        <f t="shared" ref="F110:F111" si="62">G110+H110</f>
        <v>0</v>
      </c>
      <c r="G110" s="538"/>
      <c r="H110" s="537"/>
      <c r="I110" s="537">
        <f t="shared" ref="I110:I111" si="63">J110+K110</f>
        <v>0</v>
      </c>
      <c r="J110" s="539">
        <f>G110*E110</f>
        <v>0</v>
      </c>
      <c r="K110" s="537"/>
      <c r="L110" s="70"/>
      <c r="N110" s="10"/>
    </row>
    <row r="111" spans="1:14" ht="31.5" customHeight="1" x14ac:dyDescent="0.25">
      <c r="A111" s="35">
        <v>98</v>
      </c>
      <c r="B111" s="134" t="s">
        <v>234</v>
      </c>
      <c r="C111" s="63" t="s">
        <v>27</v>
      </c>
      <c r="D111" s="64">
        <v>1.1000000000000001</v>
      </c>
      <c r="E111" s="11">
        <f>E110*D111*0.1</f>
        <v>44.55</v>
      </c>
      <c r="F111" s="11">
        <f t="shared" si="62"/>
        <v>0</v>
      </c>
      <c r="G111" s="11"/>
      <c r="H111" s="540"/>
      <c r="I111" s="11">
        <f t="shared" si="63"/>
        <v>0</v>
      </c>
      <c r="J111" s="11"/>
      <c r="K111" s="11">
        <f>H111*E111</f>
        <v>0</v>
      </c>
      <c r="L111" s="65" t="s">
        <v>15</v>
      </c>
      <c r="N111" s="10"/>
    </row>
    <row r="112" spans="1:14" x14ac:dyDescent="0.25">
      <c r="A112" s="528">
        <v>99</v>
      </c>
      <c r="B112" s="66" t="s">
        <v>60</v>
      </c>
      <c r="C112" s="127" t="s">
        <v>1</v>
      </c>
      <c r="D112" s="68"/>
      <c r="E112" s="15">
        <f>Расч.!E11</f>
        <v>405</v>
      </c>
      <c r="F112" s="537">
        <f t="shared" ref="F112:F113" si="64">G112+H112</f>
        <v>0</v>
      </c>
      <c r="G112" s="538"/>
      <c r="H112" s="537"/>
      <c r="I112" s="537">
        <f t="shared" ref="I112:I113" si="65">J112+K112</f>
        <v>0</v>
      </c>
      <c r="J112" s="539">
        <f>G112*E112</f>
        <v>0</v>
      </c>
      <c r="K112" s="537"/>
      <c r="L112" s="70"/>
      <c r="N112" s="10"/>
    </row>
    <row r="113" spans="1:14" x14ac:dyDescent="0.25">
      <c r="A113" s="35">
        <v>100</v>
      </c>
      <c r="B113" s="74" t="s">
        <v>29</v>
      </c>
      <c r="C113" s="63" t="s">
        <v>1</v>
      </c>
      <c r="D113" s="64">
        <v>1.1499999999999999</v>
      </c>
      <c r="E113" s="11">
        <f>E112*D113</f>
        <v>465.75</v>
      </c>
      <c r="F113" s="11">
        <f t="shared" si="64"/>
        <v>0</v>
      </c>
      <c r="G113" s="11"/>
      <c r="H113" s="540"/>
      <c r="I113" s="11">
        <f t="shared" si="65"/>
        <v>0</v>
      </c>
      <c r="J113" s="11"/>
      <c r="K113" s="11">
        <f>H113*E113</f>
        <v>0</v>
      </c>
      <c r="L113" s="65" t="s">
        <v>15</v>
      </c>
      <c r="N113" s="10"/>
    </row>
    <row r="114" spans="1:14" x14ac:dyDescent="0.25">
      <c r="A114" s="528">
        <v>101</v>
      </c>
      <c r="B114" s="131" t="s">
        <v>85</v>
      </c>
      <c r="C114" s="135" t="s">
        <v>1</v>
      </c>
      <c r="D114" s="133"/>
      <c r="E114" s="15">
        <f>Расч.!J78*0.22</f>
        <v>18.61</v>
      </c>
      <c r="F114" s="537">
        <f t="shared" ref="F114:F115" si="66">G114+H114</f>
        <v>0</v>
      </c>
      <c r="G114" s="538"/>
      <c r="H114" s="537"/>
      <c r="I114" s="537">
        <f t="shared" ref="I114:I115" si="67">J114+K114</f>
        <v>0</v>
      </c>
      <c r="J114" s="539">
        <f>G114*E114</f>
        <v>0</v>
      </c>
      <c r="K114" s="537"/>
      <c r="L114" s="122"/>
      <c r="N114" s="10"/>
    </row>
    <row r="115" spans="1:14" ht="33" customHeight="1" x14ac:dyDescent="0.25">
      <c r="A115" s="35">
        <v>102</v>
      </c>
      <c r="B115" s="134" t="s">
        <v>248</v>
      </c>
      <c r="C115" s="102" t="s">
        <v>27</v>
      </c>
      <c r="D115" s="103">
        <v>1.1000000000000001</v>
      </c>
      <c r="E115" s="11">
        <f>E114*0.1*D115</f>
        <v>2.0499999999999998</v>
      </c>
      <c r="F115" s="11">
        <f t="shared" si="66"/>
        <v>0</v>
      </c>
      <c r="G115" s="11"/>
      <c r="H115" s="540"/>
      <c r="I115" s="11">
        <f t="shared" si="67"/>
        <v>0</v>
      </c>
      <c r="J115" s="11"/>
      <c r="K115" s="11">
        <f>H115*E115</f>
        <v>0</v>
      </c>
      <c r="L115" s="65" t="s">
        <v>15</v>
      </c>
      <c r="N115" s="10"/>
    </row>
    <row r="116" spans="1:14" ht="47.25" x14ac:dyDescent="0.25">
      <c r="A116" s="528">
        <v>103</v>
      </c>
      <c r="B116" s="66" t="s">
        <v>82</v>
      </c>
      <c r="C116" s="127" t="s">
        <v>1</v>
      </c>
      <c r="D116" s="68"/>
      <c r="E116" s="15">
        <f>Расч.!I13</f>
        <v>396.54</v>
      </c>
      <c r="F116" s="537">
        <f t="shared" ref="F116:F118" si="68">G116+H116</f>
        <v>0</v>
      </c>
      <c r="G116" s="538"/>
      <c r="H116" s="537"/>
      <c r="I116" s="537">
        <f t="shared" ref="I116:I118" si="69">J116+K116</f>
        <v>0</v>
      </c>
      <c r="J116" s="539">
        <f>G116*E116</f>
        <v>0</v>
      </c>
      <c r="K116" s="537"/>
      <c r="L116" s="70"/>
      <c r="N116" s="10"/>
    </row>
    <row r="117" spans="1:14" x14ac:dyDescent="0.25">
      <c r="A117" s="35">
        <v>104</v>
      </c>
      <c r="B117" s="71" t="s">
        <v>26</v>
      </c>
      <c r="C117" s="63" t="s">
        <v>27</v>
      </c>
      <c r="D117" s="72">
        <v>1.0149999999999999</v>
      </c>
      <c r="E117" s="11">
        <f>Расч.!J14*D117</f>
        <v>65.739999999999995</v>
      </c>
      <c r="F117" s="11">
        <f t="shared" si="68"/>
        <v>0</v>
      </c>
      <c r="G117" s="11"/>
      <c r="H117" s="540"/>
      <c r="I117" s="11">
        <f t="shared" si="69"/>
        <v>0</v>
      </c>
      <c r="J117" s="11"/>
      <c r="K117" s="11">
        <f>H117*E117</f>
        <v>0</v>
      </c>
      <c r="L117" s="65" t="s">
        <v>15</v>
      </c>
      <c r="N117" s="10"/>
    </row>
    <row r="118" spans="1:14" x14ac:dyDescent="0.25">
      <c r="A118" s="35">
        <v>105</v>
      </c>
      <c r="B118" s="71" t="s">
        <v>37</v>
      </c>
      <c r="C118" s="63" t="s">
        <v>1</v>
      </c>
      <c r="D118" s="64">
        <v>1.2</v>
      </c>
      <c r="E118" s="11">
        <f>E116*D118</f>
        <v>475.85</v>
      </c>
      <c r="F118" s="11">
        <f t="shared" si="68"/>
        <v>0</v>
      </c>
      <c r="G118" s="11"/>
      <c r="H118" s="540"/>
      <c r="I118" s="11">
        <f t="shared" si="69"/>
        <v>0</v>
      </c>
      <c r="J118" s="11"/>
      <c r="K118" s="11">
        <f>H118*E118</f>
        <v>0</v>
      </c>
      <c r="L118" s="73" t="s">
        <v>15</v>
      </c>
      <c r="N118" s="10"/>
    </row>
    <row r="119" spans="1:14" ht="33.75" customHeight="1" x14ac:dyDescent="0.25">
      <c r="A119" s="528">
        <v>106</v>
      </c>
      <c r="B119" s="49" t="s">
        <v>179</v>
      </c>
      <c r="C119" s="125" t="s">
        <v>30</v>
      </c>
      <c r="D119" s="133"/>
      <c r="E119" s="15">
        <f>Расч.!E14</f>
        <v>158.69999999999999</v>
      </c>
      <c r="F119" s="537">
        <f t="shared" ref="F119:F120" si="70">G119+H119</f>
        <v>0</v>
      </c>
      <c r="G119" s="538"/>
      <c r="H119" s="537"/>
      <c r="I119" s="537">
        <f t="shared" ref="I119:I120" si="71">J119+K119</f>
        <v>0</v>
      </c>
      <c r="J119" s="539">
        <f>G119*E119</f>
        <v>0</v>
      </c>
      <c r="K119" s="537"/>
      <c r="L119" s="70"/>
      <c r="N119" s="10"/>
    </row>
    <row r="120" spans="1:14" x14ac:dyDescent="0.25">
      <c r="A120" s="35">
        <v>107</v>
      </c>
      <c r="B120" s="138" t="s">
        <v>26</v>
      </c>
      <c r="C120" s="102" t="s">
        <v>27</v>
      </c>
      <c r="D120" s="137">
        <v>5.0000000000000001E-3</v>
      </c>
      <c r="E120" s="11">
        <f>D120*E119</f>
        <v>0.79</v>
      </c>
      <c r="F120" s="11">
        <f t="shared" si="70"/>
        <v>0</v>
      </c>
      <c r="G120" s="11"/>
      <c r="H120" s="540"/>
      <c r="I120" s="11">
        <f t="shared" si="71"/>
        <v>0</v>
      </c>
      <c r="J120" s="11"/>
      <c r="K120" s="11">
        <f>H120*E120</f>
        <v>0</v>
      </c>
      <c r="L120" s="65" t="s">
        <v>15</v>
      </c>
      <c r="N120" s="10"/>
    </row>
    <row r="121" spans="1:14" ht="47.25" x14ac:dyDescent="0.25">
      <c r="A121" s="528">
        <v>108</v>
      </c>
      <c r="B121" s="66" t="s">
        <v>83</v>
      </c>
      <c r="C121" s="127" t="s">
        <v>1</v>
      </c>
      <c r="D121" s="68"/>
      <c r="E121" s="15">
        <f>Расч.!E11+Расч.!E14*0.3</f>
        <v>452.61</v>
      </c>
      <c r="F121" s="537">
        <f t="shared" ref="F121:F122" si="72">G121+H121</f>
        <v>0</v>
      </c>
      <c r="G121" s="538"/>
      <c r="H121" s="537"/>
      <c r="I121" s="537">
        <f t="shared" ref="I121:I122" si="73">J121+K121</f>
        <v>0</v>
      </c>
      <c r="J121" s="539">
        <f>G121*E121</f>
        <v>0</v>
      </c>
      <c r="K121" s="537"/>
      <c r="L121" s="70"/>
      <c r="N121" s="10"/>
    </row>
    <row r="122" spans="1:14" ht="31.5" x14ac:dyDescent="0.25">
      <c r="A122" s="35">
        <v>109</v>
      </c>
      <c r="B122" s="138" t="s">
        <v>84</v>
      </c>
      <c r="C122" s="63" t="s">
        <v>25</v>
      </c>
      <c r="D122" s="64">
        <v>0.35</v>
      </c>
      <c r="E122" s="11">
        <f>E121*D122</f>
        <v>158.41</v>
      </c>
      <c r="F122" s="11">
        <f t="shared" si="72"/>
        <v>0</v>
      </c>
      <c r="G122" s="11"/>
      <c r="H122" s="540"/>
      <c r="I122" s="11">
        <f t="shared" si="73"/>
        <v>0</v>
      </c>
      <c r="J122" s="11"/>
      <c r="K122" s="11">
        <f>H122*E122</f>
        <v>0</v>
      </c>
      <c r="L122" s="73" t="s">
        <v>15</v>
      </c>
      <c r="N122" s="10"/>
    </row>
    <row r="123" spans="1:14" ht="31.5" x14ac:dyDescent="0.25">
      <c r="A123" s="528">
        <v>110</v>
      </c>
      <c r="B123" s="66" t="s">
        <v>58</v>
      </c>
      <c r="C123" s="127" t="s">
        <v>1</v>
      </c>
      <c r="D123" s="68"/>
      <c r="E123" s="15">
        <f>Расч.!E11</f>
        <v>405</v>
      </c>
      <c r="F123" s="537">
        <f t="shared" ref="F123:F126" si="74">G123+H123</f>
        <v>0</v>
      </c>
      <c r="G123" s="538"/>
      <c r="H123" s="537"/>
      <c r="I123" s="537">
        <f t="shared" ref="I123:I126" si="75">J123+K123</f>
        <v>0</v>
      </c>
      <c r="J123" s="539">
        <f>G123*E123</f>
        <v>0</v>
      </c>
      <c r="K123" s="537"/>
      <c r="L123" s="70"/>
      <c r="N123" s="10"/>
    </row>
    <row r="124" spans="1:14" x14ac:dyDescent="0.25">
      <c r="A124" s="35">
        <v>111</v>
      </c>
      <c r="B124" s="223" t="s">
        <v>68</v>
      </c>
      <c r="C124" s="245" t="s">
        <v>1</v>
      </c>
      <c r="D124" s="224">
        <v>1.1599999999999999</v>
      </c>
      <c r="E124" s="11">
        <f>E123*D124</f>
        <v>469.8</v>
      </c>
      <c r="F124" s="11">
        <f t="shared" si="74"/>
        <v>0</v>
      </c>
      <c r="G124" s="11"/>
      <c r="H124" s="540"/>
      <c r="I124" s="11">
        <f t="shared" si="75"/>
        <v>0</v>
      </c>
      <c r="J124" s="11"/>
      <c r="K124" s="11">
        <f>H124*E124</f>
        <v>0</v>
      </c>
      <c r="L124" s="73" t="s">
        <v>15</v>
      </c>
      <c r="N124" s="10"/>
    </row>
    <row r="125" spans="1:14" x14ac:dyDescent="0.25">
      <c r="A125" s="35">
        <v>112</v>
      </c>
      <c r="B125" s="223" t="s">
        <v>219</v>
      </c>
      <c r="C125" s="245" t="s">
        <v>1</v>
      </c>
      <c r="D125" s="224">
        <v>1.1399999999999999</v>
      </c>
      <c r="E125" s="11">
        <f>E123*D125</f>
        <v>461.7</v>
      </c>
      <c r="F125" s="11">
        <f t="shared" si="74"/>
        <v>0</v>
      </c>
      <c r="G125" s="11"/>
      <c r="H125" s="540"/>
      <c r="I125" s="11">
        <f t="shared" si="75"/>
        <v>0</v>
      </c>
      <c r="J125" s="11"/>
      <c r="K125" s="11">
        <f>H125*E125</f>
        <v>0</v>
      </c>
      <c r="L125" s="73" t="s">
        <v>15</v>
      </c>
      <c r="N125" s="10"/>
    </row>
    <row r="126" spans="1:14" x14ac:dyDescent="0.25">
      <c r="A126" s="35">
        <v>113</v>
      </c>
      <c r="B126" s="138" t="s">
        <v>28</v>
      </c>
      <c r="C126" s="75" t="s">
        <v>3</v>
      </c>
      <c r="D126" s="76">
        <v>0.6</v>
      </c>
      <c r="E126" s="11">
        <f>E123*D126</f>
        <v>243</v>
      </c>
      <c r="F126" s="11">
        <f t="shared" si="74"/>
        <v>0</v>
      </c>
      <c r="G126" s="11"/>
      <c r="H126" s="540"/>
      <c r="I126" s="11">
        <f t="shared" si="75"/>
        <v>0</v>
      </c>
      <c r="J126" s="11"/>
      <c r="K126" s="11">
        <f>H126*E126</f>
        <v>0</v>
      </c>
      <c r="L126" s="106" t="s">
        <v>15</v>
      </c>
      <c r="N126" s="10"/>
    </row>
    <row r="127" spans="1:14" ht="31.5" x14ac:dyDescent="0.25">
      <c r="A127" s="528">
        <v>114</v>
      </c>
      <c r="B127" s="66" t="s">
        <v>35</v>
      </c>
      <c r="C127" s="127" t="s">
        <v>30</v>
      </c>
      <c r="D127" s="68"/>
      <c r="E127" s="15">
        <f>Расч.!E14</f>
        <v>158.69999999999999</v>
      </c>
      <c r="F127" s="537">
        <f t="shared" ref="F127:F134" si="76">G127+H127</f>
        <v>0</v>
      </c>
      <c r="G127" s="538"/>
      <c r="H127" s="537"/>
      <c r="I127" s="537">
        <f t="shared" ref="I127:I134" si="77">J127+K127</f>
        <v>0</v>
      </c>
      <c r="J127" s="539">
        <f>G127*E127</f>
        <v>0</v>
      </c>
      <c r="K127" s="537"/>
      <c r="L127" s="70"/>
      <c r="N127" s="10"/>
    </row>
    <row r="128" spans="1:14" x14ac:dyDescent="0.25">
      <c r="A128" s="35">
        <v>115</v>
      </c>
      <c r="B128" s="223" t="s">
        <v>68</v>
      </c>
      <c r="C128" s="245" t="s">
        <v>1</v>
      </c>
      <c r="D128" s="224">
        <v>1.1599999999999999</v>
      </c>
      <c r="E128" s="11">
        <f>E127*0.5*D128</f>
        <v>92.05</v>
      </c>
      <c r="F128" s="11">
        <f t="shared" si="76"/>
        <v>0</v>
      </c>
      <c r="G128" s="11"/>
      <c r="H128" s="540"/>
      <c r="I128" s="11">
        <f t="shared" si="77"/>
        <v>0</v>
      </c>
      <c r="J128" s="11"/>
      <c r="K128" s="11">
        <f>H128*E128</f>
        <v>0</v>
      </c>
      <c r="L128" s="65" t="s">
        <v>15</v>
      </c>
      <c r="N128" s="10"/>
    </row>
    <row r="129" spans="1:14" x14ac:dyDescent="0.25">
      <c r="A129" s="35">
        <v>116</v>
      </c>
      <c r="B129" s="223" t="s">
        <v>219</v>
      </c>
      <c r="C129" s="245" t="s">
        <v>1</v>
      </c>
      <c r="D129" s="224">
        <v>1.1399999999999999</v>
      </c>
      <c r="E129" s="11">
        <f>E127*0.4*D129</f>
        <v>72.37</v>
      </c>
      <c r="F129" s="11">
        <f t="shared" si="76"/>
        <v>0</v>
      </c>
      <c r="G129" s="11"/>
      <c r="H129" s="540"/>
      <c r="I129" s="11">
        <f t="shared" si="77"/>
        <v>0</v>
      </c>
      <c r="J129" s="11"/>
      <c r="K129" s="11">
        <f>H129*E129</f>
        <v>0</v>
      </c>
      <c r="L129" s="65" t="s">
        <v>15</v>
      </c>
      <c r="N129" s="10"/>
    </row>
    <row r="130" spans="1:14" x14ac:dyDescent="0.25">
      <c r="A130" s="35">
        <v>117</v>
      </c>
      <c r="B130" s="223" t="s">
        <v>86</v>
      </c>
      <c r="C130" s="245" t="s">
        <v>27</v>
      </c>
      <c r="D130" s="224">
        <v>1.1399999999999999</v>
      </c>
      <c r="E130" s="11">
        <f>E127*0.25*D130</f>
        <v>45.23</v>
      </c>
      <c r="F130" s="11">
        <f t="shared" si="76"/>
        <v>0</v>
      </c>
      <c r="G130" s="11"/>
      <c r="H130" s="540"/>
      <c r="I130" s="11">
        <f t="shared" si="77"/>
        <v>0</v>
      </c>
      <c r="J130" s="11"/>
      <c r="K130" s="11">
        <f>H130*E130</f>
        <v>0</v>
      </c>
      <c r="L130" s="106" t="s">
        <v>15</v>
      </c>
      <c r="N130" s="10"/>
    </row>
    <row r="131" spans="1:14" x14ac:dyDescent="0.25">
      <c r="A131" s="35">
        <v>118</v>
      </c>
      <c r="B131" s="138" t="s">
        <v>28</v>
      </c>
      <c r="C131" s="140" t="s">
        <v>3</v>
      </c>
      <c r="D131" s="103">
        <v>0.6</v>
      </c>
      <c r="E131" s="11">
        <f>E127*D131</f>
        <v>95.22</v>
      </c>
      <c r="F131" s="11">
        <f t="shared" si="76"/>
        <v>0</v>
      </c>
      <c r="G131" s="11"/>
      <c r="H131" s="540"/>
      <c r="I131" s="11">
        <f t="shared" si="77"/>
        <v>0</v>
      </c>
      <c r="J131" s="11"/>
      <c r="K131" s="11">
        <f>H131*E131</f>
        <v>0</v>
      </c>
      <c r="L131" s="106" t="s">
        <v>15</v>
      </c>
      <c r="N131" s="10"/>
    </row>
    <row r="132" spans="1:14" ht="31.5" x14ac:dyDescent="0.25">
      <c r="A132" s="35">
        <v>119</v>
      </c>
      <c r="B132" s="138" t="s">
        <v>43</v>
      </c>
      <c r="C132" s="141" t="s">
        <v>2</v>
      </c>
      <c r="D132" s="103">
        <v>1.03</v>
      </c>
      <c r="E132" s="11">
        <f>E127*D132</f>
        <v>163.46</v>
      </c>
      <c r="F132" s="11">
        <f t="shared" si="76"/>
        <v>0</v>
      </c>
      <c r="G132" s="11"/>
      <c r="H132" s="540"/>
      <c r="I132" s="11">
        <f t="shared" si="77"/>
        <v>0</v>
      </c>
      <c r="J132" s="11"/>
      <c r="K132" s="11">
        <f>H132*E132</f>
        <v>0</v>
      </c>
      <c r="L132" s="65" t="s">
        <v>15</v>
      </c>
      <c r="N132" s="10"/>
    </row>
    <row r="133" spans="1:14" x14ac:dyDescent="0.25">
      <c r="A133" s="35">
        <v>120</v>
      </c>
      <c r="B133" s="138" t="s">
        <v>31</v>
      </c>
      <c r="C133" s="142" t="s">
        <v>0</v>
      </c>
      <c r="D133" s="103">
        <v>5</v>
      </c>
      <c r="E133" s="11">
        <f>ROUND(E127*D133,0)</f>
        <v>794</v>
      </c>
      <c r="F133" s="11">
        <f t="shared" si="76"/>
        <v>0</v>
      </c>
      <c r="G133" s="11"/>
      <c r="H133" s="540"/>
      <c r="I133" s="11">
        <f t="shared" si="77"/>
        <v>0</v>
      </c>
      <c r="J133" s="11"/>
      <c r="K133" s="11">
        <f>H133*E133</f>
        <v>0</v>
      </c>
      <c r="L133" s="65" t="s">
        <v>15</v>
      </c>
      <c r="N133" s="10"/>
    </row>
    <row r="134" spans="1:14" ht="31.5" x14ac:dyDescent="0.25">
      <c r="A134" s="35">
        <v>121</v>
      </c>
      <c r="B134" s="138" t="s">
        <v>69</v>
      </c>
      <c r="C134" s="143" t="s">
        <v>0</v>
      </c>
      <c r="D134" s="103">
        <v>0.15</v>
      </c>
      <c r="E134" s="11">
        <f>ROUND(E127*D134,0)</f>
        <v>24</v>
      </c>
      <c r="F134" s="11">
        <f t="shared" si="76"/>
        <v>0</v>
      </c>
      <c r="G134" s="11"/>
      <c r="H134" s="540"/>
      <c r="I134" s="11">
        <f t="shared" si="77"/>
        <v>0</v>
      </c>
      <c r="J134" s="11"/>
      <c r="K134" s="11">
        <f>H134*E134</f>
        <v>0</v>
      </c>
      <c r="L134" s="65" t="s">
        <v>15</v>
      </c>
      <c r="N134" s="10"/>
    </row>
    <row r="135" spans="1:14" x14ac:dyDescent="0.25">
      <c r="A135" s="528">
        <v>122</v>
      </c>
      <c r="B135" s="66" t="s">
        <v>32</v>
      </c>
      <c r="C135" s="127" t="s">
        <v>0</v>
      </c>
      <c r="D135" s="68"/>
      <c r="E135" s="15">
        <v>2</v>
      </c>
      <c r="F135" s="537">
        <f t="shared" ref="F135:F136" si="78">G135+H135</f>
        <v>0</v>
      </c>
      <c r="G135" s="538"/>
      <c r="H135" s="537"/>
      <c r="I135" s="537">
        <f t="shared" ref="I135:I136" si="79">J135+K135</f>
        <v>0</v>
      </c>
      <c r="J135" s="539">
        <f>G135*E135</f>
        <v>0</v>
      </c>
      <c r="K135" s="537"/>
      <c r="L135" s="70"/>
      <c r="N135" s="10"/>
    </row>
    <row r="136" spans="1:14" ht="63" x14ac:dyDescent="0.25">
      <c r="A136" s="35">
        <v>123</v>
      </c>
      <c r="B136" s="223" t="s">
        <v>220</v>
      </c>
      <c r="C136" s="63" t="s">
        <v>0</v>
      </c>
      <c r="D136" s="64">
        <v>1</v>
      </c>
      <c r="E136" s="11">
        <f>E135</f>
        <v>2</v>
      </c>
      <c r="F136" s="11">
        <f t="shared" si="78"/>
        <v>0</v>
      </c>
      <c r="G136" s="11"/>
      <c r="H136" s="540"/>
      <c r="I136" s="11">
        <f t="shared" si="79"/>
        <v>0</v>
      </c>
      <c r="J136" s="11"/>
      <c r="K136" s="11">
        <f>H136*E136</f>
        <v>0</v>
      </c>
      <c r="L136" s="65" t="s">
        <v>15</v>
      </c>
      <c r="N136" s="10"/>
    </row>
    <row r="137" spans="1:14" x14ac:dyDescent="0.25">
      <c r="A137" s="528">
        <v>124</v>
      </c>
      <c r="B137" s="66" t="s">
        <v>55</v>
      </c>
      <c r="C137" s="127" t="s">
        <v>0</v>
      </c>
      <c r="D137" s="68"/>
      <c r="E137" s="15">
        <f>1</f>
        <v>1</v>
      </c>
      <c r="F137" s="537">
        <f t="shared" ref="F137:F138" si="80">G137+H137</f>
        <v>0</v>
      </c>
      <c r="G137" s="538"/>
      <c r="H137" s="537"/>
      <c r="I137" s="537">
        <f t="shared" ref="I137:I138" si="81">J137+K137</f>
        <v>0</v>
      </c>
      <c r="J137" s="539">
        <f>G137*E137</f>
        <v>0</v>
      </c>
      <c r="K137" s="537"/>
      <c r="L137" s="70"/>
      <c r="N137" s="10"/>
    </row>
    <row r="138" spans="1:14" ht="31.5" x14ac:dyDescent="0.25">
      <c r="A138" s="35">
        <v>125</v>
      </c>
      <c r="B138" s="223" t="s">
        <v>235</v>
      </c>
      <c r="C138" s="63" t="s">
        <v>0</v>
      </c>
      <c r="D138" s="64">
        <v>1</v>
      </c>
      <c r="E138" s="11">
        <f>E137</f>
        <v>1</v>
      </c>
      <c r="F138" s="11">
        <f t="shared" si="80"/>
        <v>0</v>
      </c>
      <c r="G138" s="11"/>
      <c r="H138" s="540"/>
      <c r="I138" s="11">
        <f t="shared" si="81"/>
        <v>0</v>
      </c>
      <c r="J138" s="11"/>
      <c r="K138" s="11">
        <f>H138*E138</f>
        <v>0</v>
      </c>
      <c r="L138" s="65" t="s">
        <v>15</v>
      </c>
      <c r="N138" s="10"/>
    </row>
    <row r="139" spans="1:14" x14ac:dyDescent="0.25">
      <c r="A139" s="528">
        <v>126</v>
      </c>
      <c r="B139" s="66" t="s">
        <v>52</v>
      </c>
      <c r="C139" s="127" t="s">
        <v>0</v>
      </c>
      <c r="D139" s="68"/>
      <c r="E139" s="15">
        <v>3</v>
      </c>
      <c r="F139" s="537">
        <f t="shared" ref="F139:F140" si="82">G139+H139</f>
        <v>0</v>
      </c>
      <c r="G139" s="538"/>
      <c r="H139" s="537"/>
      <c r="I139" s="537">
        <f t="shared" ref="I139:I140" si="83">J139+K139</f>
        <v>0</v>
      </c>
      <c r="J139" s="539">
        <f>G139*E139</f>
        <v>0</v>
      </c>
      <c r="K139" s="537"/>
      <c r="L139" s="70"/>
      <c r="N139" s="10"/>
    </row>
    <row r="140" spans="1:14" x14ac:dyDescent="0.25">
      <c r="A140" s="35">
        <v>127</v>
      </c>
      <c r="B140" s="223" t="s">
        <v>236</v>
      </c>
      <c r="C140" s="63" t="s">
        <v>0</v>
      </c>
      <c r="D140" s="64">
        <v>1</v>
      </c>
      <c r="E140" s="11">
        <f>E139</f>
        <v>3</v>
      </c>
      <c r="F140" s="11">
        <f t="shared" si="82"/>
        <v>0</v>
      </c>
      <c r="G140" s="11"/>
      <c r="H140" s="540"/>
      <c r="I140" s="11">
        <f t="shared" si="83"/>
        <v>0</v>
      </c>
      <c r="J140" s="11"/>
      <c r="K140" s="11">
        <f>H140*E140</f>
        <v>0</v>
      </c>
      <c r="L140" s="65" t="s">
        <v>15</v>
      </c>
      <c r="N140" s="10"/>
    </row>
    <row r="141" spans="1:14" ht="31.5" x14ac:dyDescent="0.25">
      <c r="A141" s="528">
        <v>128</v>
      </c>
      <c r="B141" s="66" t="s">
        <v>62</v>
      </c>
      <c r="C141" s="127" t="s">
        <v>0</v>
      </c>
      <c r="D141" s="68"/>
      <c r="E141" s="15">
        <v>12</v>
      </c>
      <c r="F141" s="537">
        <f t="shared" ref="F141:F144" si="84">G141+H141</f>
        <v>0</v>
      </c>
      <c r="G141" s="538"/>
      <c r="H141" s="537"/>
      <c r="I141" s="537">
        <f t="shared" ref="I141:I144" si="85">J141+K141</f>
        <v>0</v>
      </c>
      <c r="J141" s="539">
        <f>G141*E141</f>
        <v>0</v>
      </c>
      <c r="K141" s="537"/>
      <c r="L141" s="70"/>
      <c r="N141" s="10"/>
    </row>
    <row r="142" spans="1:14" ht="31.5" x14ac:dyDescent="0.25">
      <c r="A142" s="35">
        <v>129</v>
      </c>
      <c r="B142" s="138" t="s">
        <v>69</v>
      </c>
      <c r="C142" s="102" t="s">
        <v>0</v>
      </c>
      <c r="D142" s="103">
        <v>0.15</v>
      </c>
      <c r="E142" s="11">
        <f>ROUNDUP(D142*E141,0)</f>
        <v>2</v>
      </c>
      <c r="F142" s="11">
        <f t="shared" si="84"/>
        <v>0</v>
      </c>
      <c r="G142" s="11"/>
      <c r="H142" s="540"/>
      <c r="I142" s="11">
        <f t="shared" si="85"/>
        <v>0</v>
      </c>
      <c r="J142" s="11"/>
      <c r="K142" s="11">
        <f>H142*E142</f>
        <v>0</v>
      </c>
      <c r="L142" s="65" t="s">
        <v>15</v>
      </c>
      <c r="N142" s="10"/>
    </row>
    <row r="143" spans="1:14" ht="31.5" x14ac:dyDescent="0.25">
      <c r="A143" s="35">
        <v>130</v>
      </c>
      <c r="B143" s="138" t="s">
        <v>66</v>
      </c>
      <c r="C143" s="102" t="s">
        <v>0</v>
      </c>
      <c r="D143" s="103">
        <v>1</v>
      </c>
      <c r="E143" s="11">
        <f>E141*D143</f>
        <v>12</v>
      </c>
      <c r="F143" s="11">
        <f t="shared" si="84"/>
        <v>0</v>
      </c>
      <c r="G143" s="11"/>
      <c r="H143" s="540"/>
      <c r="I143" s="11">
        <f t="shared" si="85"/>
        <v>0</v>
      </c>
      <c r="J143" s="11"/>
      <c r="K143" s="11">
        <f>H143*E143</f>
        <v>0</v>
      </c>
      <c r="L143" s="65" t="s">
        <v>15</v>
      </c>
      <c r="N143" s="10"/>
    </row>
    <row r="144" spans="1:14" x14ac:dyDescent="0.25">
      <c r="A144" s="35">
        <v>131</v>
      </c>
      <c r="B144" s="138" t="s">
        <v>87</v>
      </c>
      <c r="C144" s="102" t="s">
        <v>0</v>
      </c>
      <c r="D144" s="103">
        <v>1</v>
      </c>
      <c r="E144" s="11">
        <f>E141*D144</f>
        <v>12</v>
      </c>
      <c r="F144" s="11">
        <f t="shared" si="84"/>
        <v>0</v>
      </c>
      <c r="G144" s="11"/>
      <c r="H144" s="540"/>
      <c r="I144" s="11">
        <f t="shared" si="85"/>
        <v>0</v>
      </c>
      <c r="J144" s="11"/>
      <c r="K144" s="11">
        <f>H144*E144</f>
        <v>0</v>
      </c>
      <c r="L144" s="65" t="s">
        <v>15</v>
      </c>
      <c r="N144" s="10"/>
    </row>
    <row r="145" spans="1:14" ht="31.5" x14ac:dyDescent="0.25">
      <c r="A145" s="528">
        <v>132</v>
      </c>
      <c r="B145" s="131" t="s">
        <v>88</v>
      </c>
      <c r="C145" s="135" t="s">
        <v>0</v>
      </c>
      <c r="D145" s="133"/>
      <c r="E145" s="15">
        <v>4</v>
      </c>
      <c r="F145" s="537">
        <f t="shared" ref="F145:F148" si="86">G145+H145</f>
        <v>0</v>
      </c>
      <c r="G145" s="538"/>
      <c r="H145" s="537"/>
      <c r="I145" s="537">
        <f t="shared" ref="I145:I148" si="87">J145+K145</f>
        <v>0</v>
      </c>
      <c r="J145" s="539">
        <f>G145*E145</f>
        <v>0</v>
      </c>
      <c r="K145" s="537"/>
      <c r="L145" s="112"/>
      <c r="N145" s="10"/>
    </row>
    <row r="146" spans="1:14" x14ac:dyDescent="0.25">
      <c r="A146" s="35">
        <v>133</v>
      </c>
      <c r="B146" s="138" t="s">
        <v>89</v>
      </c>
      <c r="C146" s="102" t="s">
        <v>0</v>
      </c>
      <c r="D146" s="103">
        <v>1</v>
      </c>
      <c r="E146" s="11">
        <f>E145*D146</f>
        <v>4</v>
      </c>
      <c r="F146" s="11">
        <f t="shared" si="86"/>
        <v>0</v>
      </c>
      <c r="G146" s="11"/>
      <c r="H146" s="540"/>
      <c r="I146" s="11">
        <f t="shared" si="87"/>
        <v>0</v>
      </c>
      <c r="J146" s="11"/>
      <c r="K146" s="11">
        <f>H146*E146</f>
        <v>0</v>
      </c>
      <c r="L146" s="65" t="s">
        <v>15</v>
      </c>
      <c r="N146" s="10"/>
    </row>
    <row r="147" spans="1:14" x14ac:dyDescent="0.25">
      <c r="A147" s="35">
        <v>134</v>
      </c>
      <c r="B147" s="138" t="s">
        <v>87</v>
      </c>
      <c r="C147" s="102" t="s">
        <v>0</v>
      </c>
      <c r="D147" s="103">
        <v>1</v>
      </c>
      <c r="E147" s="11">
        <f>E145*D147</f>
        <v>4</v>
      </c>
      <c r="F147" s="11">
        <f t="shared" si="86"/>
        <v>0</v>
      </c>
      <c r="G147" s="11"/>
      <c r="H147" s="540"/>
      <c r="I147" s="11">
        <f t="shared" si="87"/>
        <v>0</v>
      </c>
      <c r="J147" s="11"/>
      <c r="K147" s="11">
        <f>H147*E147</f>
        <v>0</v>
      </c>
      <c r="L147" s="65" t="s">
        <v>15</v>
      </c>
      <c r="N147" s="10"/>
    </row>
    <row r="148" spans="1:14" ht="31.5" x14ac:dyDescent="0.25">
      <c r="A148" s="35">
        <v>135</v>
      </c>
      <c r="B148" s="138" t="s">
        <v>90</v>
      </c>
      <c r="C148" s="102" t="s">
        <v>0</v>
      </c>
      <c r="D148" s="103">
        <v>0.15</v>
      </c>
      <c r="E148" s="11">
        <f>ROUNDUP(E145*D148,0)</f>
        <v>1</v>
      </c>
      <c r="F148" s="11">
        <f t="shared" si="86"/>
        <v>0</v>
      </c>
      <c r="G148" s="11"/>
      <c r="H148" s="540"/>
      <c r="I148" s="11">
        <f t="shared" si="87"/>
        <v>0</v>
      </c>
      <c r="J148" s="11"/>
      <c r="K148" s="11">
        <f>H148*E148</f>
        <v>0</v>
      </c>
      <c r="L148" s="65" t="s">
        <v>15</v>
      </c>
      <c r="N148" s="10"/>
    </row>
    <row r="149" spans="1:14" x14ac:dyDescent="0.25">
      <c r="A149" s="528">
        <v>136</v>
      </c>
      <c r="B149" s="66" t="s">
        <v>67</v>
      </c>
      <c r="C149" s="127" t="s">
        <v>0</v>
      </c>
      <c r="D149" s="68"/>
      <c r="E149" s="15">
        <v>1</v>
      </c>
      <c r="F149" s="537">
        <f t="shared" ref="F149:F152" si="88">G149+H149</f>
        <v>0</v>
      </c>
      <c r="G149" s="538"/>
      <c r="H149" s="537"/>
      <c r="I149" s="537">
        <f t="shared" ref="I149:I152" si="89">J149+K149</f>
        <v>0</v>
      </c>
      <c r="J149" s="539">
        <f>G149*E149</f>
        <v>0</v>
      </c>
      <c r="K149" s="537"/>
      <c r="L149" s="70"/>
      <c r="N149" s="10"/>
    </row>
    <row r="150" spans="1:14" x14ac:dyDescent="0.25">
      <c r="A150" s="35">
        <v>137</v>
      </c>
      <c r="B150" s="71" t="s">
        <v>121</v>
      </c>
      <c r="C150" s="63" t="s">
        <v>0</v>
      </c>
      <c r="D150" s="64">
        <v>1</v>
      </c>
      <c r="E150" s="11">
        <f>E149*D150</f>
        <v>1</v>
      </c>
      <c r="F150" s="11">
        <f t="shared" si="88"/>
        <v>0</v>
      </c>
      <c r="G150" s="11"/>
      <c r="H150" s="540"/>
      <c r="I150" s="11">
        <f t="shared" si="89"/>
        <v>0</v>
      </c>
      <c r="J150" s="11"/>
      <c r="K150" s="11">
        <f>H150*E150</f>
        <v>0</v>
      </c>
      <c r="L150" s="65" t="s">
        <v>15</v>
      </c>
      <c r="N150" s="10"/>
    </row>
    <row r="151" spans="1:14" x14ac:dyDescent="0.25">
      <c r="A151" s="35">
        <v>138</v>
      </c>
      <c r="B151" s="71" t="s">
        <v>122</v>
      </c>
      <c r="C151" s="63" t="s">
        <v>0</v>
      </c>
      <c r="D151" s="64">
        <v>1</v>
      </c>
      <c r="E151" s="11">
        <f>E149*D151</f>
        <v>1</v>
      </c>
      <c r="F151" s="11">
        <f t="shared" si="88"/>
        <v>0</v>
      </c>
      <c r="G151" s="11"/>
      <c r="H151" s="540"/>
      <c r="I151" s="11">
        <f t="shared" si="89"/>
        <v>0</v>
      </c>
      <c r="J151" s="11"/>
      <c r="K151" s="11">
        <f>H151*E151</f>
        <v>0</v>
      </c>
      <c r="L151" s="65" t="s">
        <v>15</v>
      </c>
      <c r="N151" s="10"/>
    </row>
    <row r="152" spans="1:14" x14ac:dyDescent="0.25">
      <c r="A152" s="35">
        <v>139</v>
      </c>
      <c r="B152" s="71" t="s">
        <v>33</v>
      </c>
      <c r="C152" s="63" t="s">
        <v>0</v>
      </c>
      <c r="D152" s="64">
        <v>3</v>
      </c>
      <c r="E152" s="11">
        <f>E149*D152</f>
        <v>3</v>
      </c>
      <c r="F152" s="11">
        <f t="shared" si="88"/>
        <v>0</v>
      </c>
      <c r="G152" s="11"/>
      <c r="H152" s="540"/>
      <c r="I152" s="11">
        <f t="shared" si="89"/>
        <v>0</v>
      </c>
      <c r="J152" s="11"/>
      <c r="K152" s="11">
        <f>H152*E152</f>
        <v>0</v>
      </c>
      <c r="L152" s="65" t="s">
        <v>15</v>
      </c>
      <c r="N152" s="10"/>
    </row>
    <row r="153" spans="1:14" x14ac:dyDescent="0.25">
      <c r="A153" s="528">
        <v>140</v>
      </c>
      <c r="B153" s="66" t="s">
        <v>59</v>
      </c>
      <c r="C153" s="127" t="s">
        <v>30</v>
      </c>
      <c r="D153" s="68"/>
      <c r="E153" s="15">
        <f>Расч.!P75</f>
        <v>57.1</v>
      </c>
      <c r="F153" s="537">
        <f t="shared" ref="F153:F156" si="90">G153+H153</f>
        <v>0</v>
      </c>
      <c r="G153" s="538"/>
      <c r="H153" s="537"/>
      <c r="I153" s="537">
        <f t="shared" ref="I153:I156" si="91">J153+K153</f>
        <v>0</v>
      </c>
      <c r="J153" s="539">
        <f>G153*E153</f>
        <v>0</v>
      </c>
      <c r="K153" s="537"/>
      <c r="L153" s="70"/>
      <c r="N153" s="10"/>
    </row>
    <row r="154" spans="1:14" x14ac:dyDescent="0.25">
      <c r="A154" s="35">
        <v>141</v>
      </c>
      <c r="B154" s="138" t="s">
        <v>31</v>
      </c>
      <c r="C154" s="103" t="s">
        <v>0</v>
      </c>
      <c r="D154" s="103">
        <v>5</v>
      </c>
      <c r="E154" s="77">
        <f>ROUND(E153*D154,0)</f>
        <v>286</v>
      </c>
      <c r="F154" s="11">
        <f t="shared" si="90"/>
        <v>0</v>
      </c>
      <c r="G154" s="11"/>
      <c r="H154" s="540"/>
      <c r="I154" s="11">
        <f t="shared" si="91"/>
        <v>0</v>
      </c>
      <c r="J154" s="11"/>
      <c r="K154" s="11">
        <f>H154*E154</f>
        <v>0</v>
      </c>
      <c r="L154" s="65" t="s">
        <v>15</v>
      </c>
      <c r="N154" s="10"/>
    </row>
    <row r="155" spans="1:14" ht="47.25" x14ac:dyDescent="0.25">
      <c r="A155" s="35">
        <v>142</v>
      </c>
      <c r="B155" s="138" t="s">
        <v>142</v>
      </c>
      <c r="C155" s="196" t="s">
        <v>2</v>
      </c>
      <c r="D155" s="196">
        <v>1.1000000000000001</v>
      </c>
      <c r="E155" s="77">
        <f>E153*D155</f>
        <v>62.81</v>
      </c>
      <c r="F155" s="11">
        <f t="shared" si="90"/>
        <v>0</v>
      </c>
      <c r="G155" s="11"/>
      <c r="H155" s="540"/>
      <c r="I155" s="11">
        <f t="shared" si="91"/>
        <v>0</v>
      </c>
      <c r="J155" s="11"/>
      <c r="K155" s="11">
        <f>H155*E155</f>
        <v>0</v>
      </c>
      <c r="L155" s="65" t="s">
        <v>15</v>
      </c>
      <c r="N155" s="10"/>
    </row>
    <row r="156" spans="1:14" x14ac:dyDescent="0.25">
      <c r="A156" s="35">
        <v>143</v>
      </c>
      <c r="B156" s="138" t="s">
        <v>34</v>
      </c>
      <c r="C156" s="102" t="s">
        <v>0</v>
      </c>
      <c r="D156" s="103">
        <v>1.66</v>
      </c>
      <c r="E156" s="11">
        <f>ROUND(E153*D156,0)</f>
        <v>95</v>
      </c>
      <c r="F156" s="11">
        <f t="shared" si="90"/>
        <v>0</v>
      </c>
      <c r="G156" s="11"/>
      <c r="H156" s="540"/>
      <c r="I156" s="11">
        <f t="shared" si="91"/>
        <v>0</v>
      </c>
      <c r="J156" s="11"/>
      <c r="K156" s="11">
        <f>H156*E156</f>
        <v>0</v>
      </c>
      <c r="L156" s="65" t="s">
        <v>15</v>
      </c>
      <c r="N156" s="10"/>
    </row>
    <row r="157" spans="1:14" x14ac:dyDescent="0.25">
      <c r="A157" s="528">
        <v>144</v>
      </c>
      <c r="B157" s="241" t="s">
        <v>64</v>
      </c>
      <c r="C157" s="295" t="s">
        <v>30</v>
      </c>
      <c r="D157" s="243"/>
      <c r="E157" s="15">
        <f>17.75+1.05</f>
        <v>18.8</v>
      </c>
      <c r="F157" s="537">
        <f t="shared" ref="F157:F161" si="92">G157+H157</f>
        <v>0</v>
      </c>
      <c r="G157" s="538"/>
      <c r="H157" s="537"/>
      <c r="I157" s="537">
        <f t="shared" ref="I157:I161" si="93">J157+K157</f>
        <v>0</v>
      </c>
      <c r="J157" s="539">
        <f>G157*E157</f>
        <v>0</v>
      </c>
      <c r="K157" s="537"/>
      <c r="L157" s="244"/>
      <c r="N157" s="10"/>
    </row>
    <row r="158" spans="1:14" ht="47.25" x14ac:dyDescent="0.25">
      <c r="A158" s="35">
        <v>145</v>
      </c>
      <c r="B158" s="223" t="s">
        <v>222</v>
      </c>
      <c r="C158" s="245" t="s">
        <v>2</v>
      </c>
      <c r="D158" s="224">
        <v>1.1000000000000001</v>
      </c>
      <c r="E158" s="11">
        <f>17.75*D158</f>
        <v>19.53</v>
      </c>
      <c r="F158" s="11">
        <f t="shared" si="92"/>
        <v>0</v>
      </c>
      <c r="G158" s="11"/>
      <c r="H158" s="540"/>
      <c r="I158" s="11">
        <f t="shared" si="93"/>
        <v>0</v>
      </c>
      <c r="J158" s="11"/>
      <c r="K158" s="11">
        <f>H158*E158</f>
        <v>0</v>
      </c>
      <c r="L158" s="225" t="s">
        <v>223</v>
      </c>
      <c r="N158" s="10"/>
    </row>
    <row r="159" spans="1:14" ht="47.25" x14ac:dyDescent="0.25">
      <c r="A159" s="35">
        <v>146</v>
      </c>
      <c r="B159" s="223" t="s">
        <v>237</v>
      </c>
      <c r="C159" s="245" t="s">
        <v>2</v>
      </c>
      <c r="D159" s="224">
        <v>1.1000000000000001</v>
      </c>
      <c r="E159" s="11">
        <f>1.05*D159</f>
        <v>1.1599999999999999</v>
      </c>
      <c r="F159" s="11">
        <f t="shared" si="92"/>
        <v>0</v>
      </c>
      <c r="G159" s="11"/>
      <c r="H159" s="540"/>
      <c r="I159" s="11">
        <f t="shared" si="93"/>
        <v>0</v>
      </c>
      <c r="J159" s="11"/>
      <c r="K159" s="11">
        <f>H159*E159</f>
        <v>0</v>
      </c>
      <c r="L159" s="225" t="s">
        <v>223</v>
      </c>
      <c r="N159" s="10"/>
    </row>
    <row r="160" spans="1:14" x14ac:dyDescent="0.25">
      <c r="A160" s="35">
        <v>147</v>
      </c>
      <c r="B160" s="223" t="s">
        <v>31</v>
      </c>
      <c r="C160" s="224" t="s">
        <v>0</v>
      </c>
      <c r="D160" s="224">
        <v>5</v>
      </c>
      <c r="E160" s="11">
        <f>ROUND(E157*D160,0)</f>
        <v>94</v>
      </c>
      <c r="F160" s="11">
        <f t="shared" si="92"/>
        <v>0</v>
      </c>
      <c r="G160" s="11"/>
      <c r="H160" s="540"/>
      <c r="I160" s="11">
        <f t="shared" si="93"/>
        <v>0</v>
      </c>
      <c r="J160" s="11"/>
      <c r="K160" s="11">
        <f>H160*E160</f>
        <v>0</v>
      </c>
      <c r="L160" s="246" t="s">
        <v>15</v>
      </c>
      <c r="N160" s="10"/>
    </row>
    <row r="161" spans="1:14" x14ac:dyDescent="0.25">
      <c r="A161" s="35">
        <v>148</v>
      </c>
      <c r="B161" s="223" t="s">
        <v>26</v>
      </c>
      <c r="C161" s="245" t="s">
        <v>27</v>
      </c>
      <c r="D161" s="247">
        <v>1.0149999999999999</v>
      </c>
      <c r="E161" s="11">
        <f>17.75*0.12*((0.03+0.01)/2)*D161</f>
        <v>0.04</v>
      </c>
      <c r="F161" s="11">
        <f t="shared" si="92"/>
        <v>0</v>
      </c>
      <c r="G161" s="11"/>
      <c r="H161" s="540"/>
      <c r="I161" s="11">
        <f t="shared" si="93"/>
        <v>0</v>
      </c>
      <c r="J161" s="11"/>
      <c r="K161" s="11">
        <f>H161*E161</f>
        <v>0</v>
      </c>
      <c r="L161" s="246" t="s">
        <v>15</v>
      </c>
      <c r="N161" s="10"/>
    </row>
    <row r="162" spans="1:14" ht="31.5" x14ac:dyDescent="0.25">
      <c r="A162" s="528">
        <v>149</v>
      </c>
      <c r="B162" s="145" t="s">
        <v>117</v>
      </c>
      <c r="C162" s="126" t="s">
        <v>30</v>
      </c>
      <c r="D162" s="79"/>
      <c r="E162" s="80">
        <f>Расч.!P76</f>
        <v>15.24</v>
      </c>
      <c r="F162" s="537">
        <f t="shared" ref="F162:F167" si="94">G162+H162</f>
        <v>0</v>
      </c>
      <c r="G162" s="538"/>
      <c r="H162" s="537"/>
      <c r="I162" s="537">
        <f t="shared" ref="I162:I167" si="95">J162+K162</f>
        <v>0</v>
      </c>
      <c r="J162" s="539">
        <f>G162*E162</f>
        <v>0</v>
      </c>
      <c r="K162" s="537"/>
      <c r="L162" s="81"/>
      <c r="N162" s="10"/>
    </row>
    <row r="163" spans="1:14" x14ac:dyDescent="0.25">
      <c r="A163" s="35">
        <v>150</v>
      </c>
      <c r="B163" s="144" t="s">
        <v>31</v>
      </c>
      <c r="C163" s="146" t="s">
        <v>0</v>
      </c>
      <c r="D163" s="147">
        <v>5</v>
      </c>
      <c r="E163" s="84">
        <f>ROUND(E162*D163,0)</f>
        <v>76</v>
      </c>
      <c r="F163" s="11">
        <f t="shared" si="94"/>
        <v>0</v>
      </c>
      <c r="G163" s="11"/>
      <c r="H163" s="540"/>
      <c r="I163" s="11">
        <f t="shared" si="95"/>
        <v>0</v>
      </c>
      <c r="J163" s="11"/>
      <c r="K163" s="11">
        <f>H163*E163</f>
        <v>0</v>
      </c>
      <c r="L163" s="246" t="s">
        <v>15</v>
      </c>
      <c r="N163" s="10"/>
    </row>
    <row r="164" spans="1:14" ht="52.5" customHeight="1" x14ac:dyDescent="0.25">
      <c r="A164" s="35">
        <v>151</v>
      </c>
      <c r="B164" s="116" t="s">
        <v>238</v>
      </c>
      <c r="C164" s="148" t="s">
        <v>2</v>
      </c>
      <c r="D164" s="147">
        <v>1.1000000000000001</v>
      </c>
      <c r="E164" s="84">
        <f>ROUND(E162*D164,2)</f>
        <v>16.760000000000002</v>
      </c>
      <c r="F164" s="11">
        <f t="shared" si="94"/>
        <v>0</v>
      </c>
      <c r="G164" s="11"/>
      <c r="H164" s="540"/>
      <c r="I164" s="11">
        <f t="shared" si="95"/>
        <v>0</v>
      </c>
      <c r="J164" s="11"/>
      <c r="K164" s="11">
        <f>H164*E164</f>
        <v>0</v>
      </c>
      <c r="L164" s="246" t="s">
        <v>15</v>
      </c>
      <c r="N164" s="10"/>
    </row>
    <row r="165" spans="1:14" ht="31.5" x14ac:dyDescent="0.25">
      <c r="A165" s="35">
        <v>152</v>
      </c>
      <c r="B165" s="238" t="s">
        <v>180</v>
      </c>
      <c r="C165" s="148" t="s">
        <v>2</v>
      </c>
      <c r="D165" s="147">
        <v>1.1000000000000001</v>
      </c>
      <c r="E165" s="84">
        <f>ROUND(E162*D165,2)</f>
        <v>16.760000000000002</v>
      </c>
      <c r="F165" s="11">
        <f t="shared" si="94"/>
        <v>0</v>
      </c>
      <c r="G165" s="11"/>
      <c r="H165" s="540"/>
      <c r="I165" s="11">
        <f t="shared" si="95"/>
        <v>0</v>
      </c>
      <c r="J165" s="11"/>
      <c r="K165" s="11">
        <f>H165*E165</f>
        <v>0</v>
      </c>
      <c r="L165" s="246" t="s">
        <v>15</v>
      </c>
      <c r="N165" s="10"/>
    </row>
    <row r="166" spans="1:14" x14ac:dyDescent="0.25">
      <c r="A166" s="35">
        <v>153</v>
      </c>
      <c r="B166" s="144" t="s">
        <v>54</v>
      </c>
      <c r="C166" s="148" t="s">
        <v>27</v>
      </c>
      <c r="D166" s="239">
        <v>0.1</v>
      </c>
      <c r="E166" s="84">
        <f>E162*D166</f>
        <v>1.52</v>
      </c>
      <c r="F166" s="11">
        <f t="shared" si="94"/>
        <v>0</v>
      </c>
      <c r="G166" s="11"/>
      <c r="H166" s="540"/>
      <c r="I166" s="11">
        <f t="shared" si="95"/>
        <v>0</v>
      </c>
      <c r="J166" s="11"/>
      <c r="K166" s="11">
        <f>H166*E166</f>
        <v>0</v>
      </c>
      <c r="L166" s="246" t="s">
        <v>15</v>
      </c>
      <c r="N166" s="10"/>
    </row>
    <row r="167" spans="1:14" x14ac:dyDescent="0.25">
      <c r="A167" s="35">
        <v>154</v>
      </c>
      <c r="B167" s="134" t="s">
        <v>34</v>
      </c>
      <c r="C167" s="149" t="s">
        <v>0</v>
      </c>
      <c r="D167" s="103">
        <v>3.32</v>
      </c>
      <c r="E167" s="84">
        <f>ROUND(E162*D167,0)</f>
        <v>51</v>
      </c>
      <c r="F167" s="11">
        <f t="shared" si="94"/>
        <v>0</v>
      </c>
      <c r="G167" s="11"/>
      <c r="H167" s="540"/>
      <c r="I167" s="11">
        <f t="shared" si="95"/>
        <v>0</v>
      </c>
      <c r="J167" s="11"/>
      <c r="K167" s="11">
        <f>H167*E167</f>
        <v>0</v>
      </c>
      <c r="L167" s="246" t="s">
        <v>15</v>
      </c>
      <c r="N167" s="10"/>
    </row>
    <row r="168" spans="1:14" ht="31.5" x14ac:dyDescent="0.25">
      <c r="A168" s="528">
        <v>155</v>
      </c>
      <c r="B168" s="108" t="s">
        <v>196</v>
      </c>
      <c r="C168" s="121" t="s">
        <v>1</v>
      </c>
      <c r="D168" s="110"/>
      <c r="E168" s="30">
        <v>1</v>
      </c>
      <c r="F168" s="537">
        <f t="shared" ref="F168:F169" si="96">G168+H168</f>
        <v>0</v>
      </c>
      <c r="G168" s="538"/>
      <c r="H168" s="537"/>
      <c r="I168" s="537">
        <f t="shared" ref="I168:I169" si="97">J168+K168</f>
        <v>0</v>
      </c>
      <c r="J168" s="539">
        <f>G168*E168</f>
        <v>0</v>
      </c>
      <c r="K168" s="537"/>
      <c r="L168" s="70"/>
      <c r="N168" s="10"/>
    </row>
    <row r="169" spans="1:14" x14ac:dyDescent="0.25">
      <c r="A169" s="35">
        <v>156</v>
      </c>
      <c r="B169" s="107" t="s">
        <v>26</v>
      </c>
      <c r="C169" s="190" t="s">
        <v>27</v>
      </c>
      <c r="D169" s="250">
        <v>1.0149999999999999</v>
      </c>
      <c r="E169" s="39">
        <f>E168*0.1*D169</f>
        <v>0.1</v>
      </c>
      <c r="F169" s="11">
        <f t="shared" si="96"/>
        <v>0</v>
      </c>
      <c r="G169" s="11"/>
      <c r="H169" s="540"/>
      <c r="I169" s="11">
        <f t="shared" si="97"/>
        <v>0</v>
      </c>
      <c r="J169" s="11"/>
      <c r="K169" s="11">
        <f>H169*E169</f>
        <v>0</v>
      </c>
      <c r="L169" s="65" t="s">
        <v>15</v>
      </c>
      <c r="N169" s="10"/>
    </row>
    <row r="170" spans="1:14" ht="47.25" x14ac:dyDescent="0.25">
      <c r="A170" s="528">
        <v>157</v>
      </c>
      <c r="B170" s="89" t="s">
        <v>123</v>
      </c>
      <c r="C170" s="301" t="s">
        <v>0</v>
      </c>
      <c r="D170" s="90"/>
      <c r="E170" s="78">
        <v>1</v>
      </c>
      <c r="F170" s="537">
        <f t="shared" ref="F170:F176" si="98">G170+H170</f>
        <v>0</v>
      </c>
      <c r="G170" s="538"/>
      <c r="H170" s="537"/>
      <c r="I170" s="537">
        <f t="shared" ref="I170:I176" si="99">J170+K170</f>
        <v>0</v>
      </c>
      <c r="J170" s="539">
        <f>G170*E170</f>
        <v>0</v>
      </c>
      <c r="K170" s="537"/>
      <c r="L170" s="91"/>
      <c r="M170" s="485"/>
      <c r="N170" s="10"/>
    </row>
    <row r="171" spans="1:14" x14ac:dyDescent="0.25">
      <c r="A171" s="35">
        <v>158</v>
      </c>
      <c r="B171" s="194" t="s">
        <v>239</v>
      </c>
      <c r="C171" s="245" t="s">
        <v>3</v>
      </c>
      <c r="D171" s="224">
        <v>1.03</v>
      </c>
      <c r="E171" s="38">
        <f>59.17*D171</f>
        <v>60.95</v>
      </c>
      <c r="F171" s="11">
        <f t="shared" si="98"/>
        <v>0</v>
      </c>
      <c r="G171" s="11"/>
      <c r="H171" s="540"/>
      <c r="I171" s="11">
        <f t="shared" si="99"/>
        <v>0</v>
      </c>
      <c r="J171" s="11"/>
      <c r="K171" s="11">
        <f>H171*E171</f>
        <v>0</v>
      </c>
      <c r="L171" s="65" t="s">
        <v>15</v>
      </c>
      <c r="M171" s="486"/>
      <c r="N171" s="10"/>
    </row>
    <row r="172" spans="1:14" x14ac:dyDescent="0.25">
      <c r="A172" s="35">
        <v>159</v>
      </c>
      <c r="B172" s="194" t="s">
        <v>124</v>
      </c>
      <c r="C172" s="245" t="s">
        <v>3</v>
      </c>
      <c r="D172" s="224">
        <v>1.03</v>
      </c>
      <c r="E172" s="92">
        <f>14.18*D172</f>
        <v>14.61</v>
      </c>
      <c r="F172" s="11">
        <f t="shared" si="98"/>
        <v>0</v>
      </c>
      <c r="G172" s="11"/>
      <c r="H172" s="540"/>
      <c r="I172" s="11">
        <f t="shared" si="99"/>
        <v>0</v>
      </c>
      <c r="J172" s="11"/>
      <c r="K172" s="11">
        <f>H172*E172</f>
        <v>0</v>
      </c>
      <c r="L172" s="93" t="s">
        <v>15</v>
      </c>
      <c r="M172" s="486"/>
      <c r="N172" s="10"/>
    </row>
    <row r="173" spans="1:14" x14ac:dyDescent="0.25">
      <c r="A173" s="35">
        <v>160</v>
      </c>
      <c r="B173" s="194" t="s">
        <v>125</v>
      </c>
      <c r="C173" s="245" t="s">
        <v>3</v>
      </c>
      <c r="D173" s="224">
        <v>1.03</v>
      </c>
      <c r="E173" s="94">
        <f>30.72*D173</f>
        <v>31.64</v>
      </c>
      <c r="F173" s="11">
        <f t="shared" si="98"/>
        <v>0</v>
      </c>
      <c r="G173" s="11"/>
      <c r="H173" s="540"/>
      <c r="I173" s="11">
        <f t="shared" si="99"/>
        <v>0</v>
      </c>
      <c r="J173" s="11"/>
      <c r="K173" s="11">
        <f>H173*E173</f>
        <v>0</v>
      </c>
      <c r="L173" s="95" t="s">
        <v>15</v>
      </c>
      <c r="M173" s="487"/>
      <c r="N173" s="10"/>
    </row>
    <row r="174" spans="1:14" x14ac:dyDescent="0.25">
      <c r="A174" s="35">
        <v>161</v>
      </c>
      <c r="B174" s="194" t="s">
        <v>126</v>
      </c>
      <c r="C174" s="245" t="s">
        <v>3</v>
      </c>
      <c r="D174" s="224">
        <v>1.03</v>
      </c>
      <c r="E174" s="96">
        <f>65.5*D174</f>
        <v>67.47</v>
      </c>
      <c r="F174" s="11">
        <f t="shared" si="98"/>
        <v>0</v>
      </c>
      <c r="G174" s="11"/>
      <c r="H174" s="540"/>
      <c r="I174" s="11">
        <f t="shared" si="99"/>
        <v>0</v>
      </c>
      <c r="J174" s="11"/>
      <c r="K174" s="11">
        <f>H174*E174</f>
        <v>0</v>
      </c>
      <c r="L174" s="97" t="s">
        <v>15</v>
      </c>
      <c r="M174" s="487"/>
      <c r="N174" s="10"/>
    </row>
    <row r="175" spans="1:14" x14ac:dyDescent="0.25">
      <c r="A175" s="35">
        <v>162</v>
      </c>
      <c r="B175" s="194" t="s">
        <v>70</v>
      </c>
      <c r="C175" s="245" t="s">
        <v>3</v>
      </c>
      <c r="D175" s="224">
        <v>0.24</v>
      </c>
      <c r="E175" s="98">
        <f>4.19*D175*E170</f>
        <v>1.01</v>
      </c>
      <c r="F175" s="11">
        <f t="shared" si="98"/>
        <v>0</v>
      </c>
      <c r="G175" s="11"/>
      <c r="H175" s="540"/>
      <c r="I175" s="11">
        <f t="shared" si="99"/>
        <v>0</v>
      </c>
      <c r="J175" s="11"/>
      <c r="K175" s="11">
        <f>H175*E175</f>
        <v>0</v>
      </c>
      <c r="L175" s="99" t="s">
        <v>15</v>
      </c>
      <c r="M175" s="488"/>
      <c r="N175" s="10"/>
    </row>
    <row r="176" spans="1:14" x14ac:dyDescent="0.25">
      <c r="A176" s="35">
        <v>163</v>
      </c>
      <c r="B176" s="194" t="s">
        <v>71</v>
      </c>
      <c r="C176" s="245" t="s">
        <v>3</v>
      </c>
      <c r="D176" s="224">
        <v>0.3</v>
      </c>
      <c r="E176" s="100">
        <f>4.19*D176*E170</f>
        <v>1.26</v>
      </c>
      <c r="F176" s="11">
        <f t="shared" si="98"/>
        <v>0</v>
      </c>
      <c r="G176" s="11"/>
      <c r="H176" s="540"/>
      <c r="I176" s="11">
        <f t="shared" si="99"/>
        <v>0</v>
      </c>
      <c r="J176" s="11"/>
      <c r="K176" s="11">
        <f>H176*E176</f>
        <v>0</v>
      </c>
      <c r="L176" s="101" t="s">
        <v>15</v>
      </c>
      <c r="N176" s="10"/>
    </row>
    <row r="177" spans="1:14" x14ac:dyDescent="0.25">
      <c r="A177" s="254"/>
      <c r="B177" s="290" t="s">
        <v>63</v>
      </c>
      <c r="C177" s="291"/>
      <c r="D177" s="292"/>
      <c r="E177" s="292"/>
      <c r="F177" s="292"/>
      <c r="G177" s="292"/>
      <c r="H177" s="292"/>
      <c r="I177" s="292"/>
      <c r="J177" s="292"/>
      <c r="K177" s="292"/>
      <c r="L177" s="293"/>
      <c r="N177" s="10"/>
    </row>
    <row r="178" spans="1:14" ht="63" x14ac:dyDescent="0.25">
      <c r="A178" s="529">
        <v>164</v>
      </c>
      <c r="B178" s="294" t="s">
        <v>224</v>
      </c>
      <c r="C178" s="295" t="s">
        <v>0</v>
      </c>
      <c r="D178" s="243"/>
      <c r="E178" s="15">
        <v>4</v>
      </c>
      <c r="F178" s="537">
        <f t="shared" ref="F178:F179" si="100">G178+H178</f>
        <v>0</v>
      </c>
      <c r="G178" s="538"/>
      <c r="H178" s="537"/>
      <c r="I178" s="537">
        <f t="shared" ref="I178:I179" si="101">J178+K178</f>
        <v>0</v>
      </c>
      <c r="J178" s="539">
        <f>G178*E178</f>
        <v>0</v>
      </c>
      <c r="K178" s="537"/>
      <c r="L178" s="244"/>
      <c r="N178" s="10"/>
    </row>
    <row r="179" spans="1:14" x14ac:dyDescent="0.25">
      <c r="A179" s="222">
        <v>165</v>
      </c>
      <c r="B179" s="223" t="s">
        <v>225</v>
      </c>
      <c r="C179" s="296" t="s">
        <v>0</v>
      </c>
      <c r="D179" s="224">
        <v>1</v>
      </c>
      <c r="E179" s="297">
        <f>E178*D179</f>
        <v>4</v>
      </c>
      <c r="F179" s="11">
        <f t="shared" si="100"/>
        <v>0</v>
      </c>
      <c r="G179" s="11"/>
      <c r="H179" s="540"/>
      <c r="I179" s="11">
        <f t="shared" si="101"/>
        <v>0</v>
      </c>
      <c r="J179" s="11"/>
      <c r="K179" s="11">
        <f>H179*E179</f>
        <v>0</v>
      </c>
      <c r="L179" s="298" t="s">
        <v>226</v>
      </c>
      <c r="N179" s="10"/>
    </row>
    <row r="180" spans="1:14" ht="63" x14ac:dyDescent="0.25">
      <c r="A180" s="529">
        <v>166</v>
      </c>
      <c r="B180" s="294" t="s">
        <v>224</v>
      </c>
      <c r="C180" s="295" t="s">
        <v>0</v>
      </c>
      <c r="D180" s="243"/>
      <c r="E180" s="15">
        <v>5</v>
      </c>
      <c r="F180" s="537">
        <f t="shared" ref="F180:F181" si="102">G180+H180</f>
        <v>0</v>
      </c>
      <c r="G180" s="538"/>
      <c r="H180" s="537"/>
      <c r="I180" s="537">
        <f t="shared" ref="I180:I181" si="103">J180+K180</f>
        <v>0</v>
      </c>
      <c r="J180" s="539">
        <f>G180*E180</f>
        <v>0</v>
      </c>
      <c r="K180" s="537"/>
      <c r="L180" s="244"/>
      <c r="N180" s="10"/>
    </row>
    <row r="181" spans="1:14" x14ac:dyDescent="0.25">
      <c r="A181" s="222">
        <v>167</v>
      </c>
      <c r="B181" s="223" t="s">
        <v>227</v>
      </c>
      <c r="C181" s="296" t="s">
        <v>0</v>
      </c>
      <c r="D181" s="224">
        <v>1</v>
      </c>
      <c r="E181" s="297">
        <f>E180*D181</f>
        <v>5</v>
      </c>
      <c r="F181" s="11">
        <f t="shared" si="102"/>
        <v>0</v>
      </c>
      <c r="G181" s="11"/>
      <c r="H181" s="540"/>
      <c r="I181" s="11">
        <f t="shared" si="103"/>
        <v>0</v>
      </c>
      <c r="J181" s="11"/>
      <c r="K181" s="11">
        <f>H181*E181</f>
        <v>0</v>
      </c>
      <c r="L181" s="298" t="s">
        <v>226</v>
      </c>
      <c r="N181" s="10"/>
    </row>
    <row r="182" spans="1:14" ht="63" x14ac:dyDescent="0.25">
      <c r="A182" s="529">
        <v>168</v>
      </c>
      <c r="B182" s="294" t="s">
        <v>224</v>
      </c>
      <c r="C182" s="295" t="s">
        <v>0</v>
      </c>
      <c r="D182" s="243"/>
      <c r="E182" s="15">
        <v>2</v>
      </c>
      <c r="F182" s="537">
        <f t="shared" ref="F182:F183" si="104">G182+H182</f>
        <v>0</v>
      </c>
      <c r="G182" s="538"/>
      <c r="H182" s="537"/>
      <c r="I182" s="537">
        <f t="shared" ref="I182:I183" si="105">J182+K182</f>
        <v>0</v>
      </c>
      <c r="J182" s="539">
        <f>G182*E182</f>
        <v>0</v>
      </c>
      <c r="K182" s="537"/>
      <c r="L182" s="244"/>
      <c r="N182" s="10"/>
    </row>
    <row r="183" spans="1:14" x14ac:dyDescent="0.25">
      <c r="A183" s="222">
        <v>169</v>
      </c>
      <c r="B183" s="223" t="s">
        <v>228</v>
      </c>
      <c r="C183" s="296" t="s">
        <v>0</v>
      </c>
      <c r="D183" s="224">
        <v>1</v>
      </c>
      <c r="E183" s="297">
        <f>E182*D183</f>
        <v>2</v>
      </c>
      <c r="F183" s="11">
        <f t="shared" si="104"/>
        <v>0</v>
      </c>
      <c r="G183" s="11"/>
      <c r="H183" s="540"/>
      <c r="I183" s="11">
        <f t="shared" si="105"/>
        <v>0</v>
      </c>
      <c r="J183" s="11"/>
      <c r="K183" s="11">
        <f>H183*E183</f>
        <v>0</v>
      </c>
      <c r="L183" s="298" t="s">
        <v>226</v>
      </c>
      <c r="N183" s="10"/>
    </row>
    <row r="184" spans="1:14" ht="63" x14ac:dyDescent="0.25">
      <c r="A184" s="529">
        <v>170</v>
      </c>
      <c r="B184" s="294" t="s">
        <v>229</v>
      </c>
      <c r="C184" s="295" t="s">
        <v>0</v>
      </c>
      <c r="D184" s="243"/>
      <c r="E184" s="15">
        <v>1</v>
      </c>
      <c r="F184" s="537">
        <f t="shared" ref="F184:F185" si="106">G184+H184</f>
        <v>0</v>
      </c>
      <c r="G184" s="538"/>
      <c r="H184" s="537"/>
      <c r="I184" s="537">
        <f t="shared" ref="I184:I185" si="107">J184+K184</f>
        <v>0</v>
      </c>
      <c r="J184" s="539">
        <f>G184*E184</f>
        <v>0</v>
      </c>
      <c r="K184" s="537"/>
      <c r="L184" s="244"/>
      <c r="N184" s="10"/>
    </row>
    <row r="185" spans="1:14" x14ac:dyDescent="0.25">
      <c r="A185" s="222">
        <v>171</v>
      </c>
      <c r="B185" s="223" t="s">
        <v>230</v>
      </c>
      <c r="C185" s="296" t="s">
        <v>0</v>
      </c>
      <c r="D185" s="224">
        <v>1</v>
      </c>
      <c r="E185" s="297">
        <f>E184*D185</f>
        <v>1</v>
      </c>
      <c r="F185" s="11">
        <f t="shared" si="106"/>
        <v>0</v>
      </c>
      <c r="G185" s="11"/>
      <c r="H185" s="540"/>
      <c r="I185" s="11">
        <f t="shared" si="107"/>
        <v>0</v>
      </c>
      <c r="J185" s="11"/>
      <c r="K185" s="11">
        <f>H185*E185</f>
        <v>0</v>
      </c>
      <c r="L185" s="298" t="s">
        <v>226</v>
      </c>
      <c r="N185" s="10"/>
    </row>
    <row r="186" spans="1:14" x14ac:dyDescent="0.25">
      <c r="A186" s="300"/>
      <c r="B186" s="150" t="s">
        <v>231</v>
      </c>
      <c r="C186" s="151"/>
      <c r="D186" s="152"/>
      <c r="E186" s="152"/>
      <c r="F186" s="152"/>
      <c r="G186" s="152"/>
      <c r="H186" s="152"/>
      <c r="I186" s="152"/>
      <c r="J186" s="152"/>
      <c r="K186" s="152"/>
      <c r="L186" s="153"/>
      <c r="N186" s="10"/>
    </row>
    <row r="187" spans="1:14" ht="31.5" x14ac:dyDescent="0.25">
      <c r="A187" s="530">
        <v>172</v>
      </c>
      <c r="B187" s="40" t="s">
        <v>217</v>
      </c>
      <c r="C187" s="124" t="s">
        <v>1</v>
      </c>
      <c r="D187" s="41"/>
      <c r="E187" s="136">
        <f>Расч.!O11+Расч.!O14*0.1</f>
        <v>9.25</v>
      </c>
      <c r="F187" s="537">
        <f t="shared" ref="F187:F188" si="108">G187+H187</f>
        <v>0</v>
      </c>
      <c r="G187" s="538"/>
      <c r="H187" s="537"/>
      <c r="I187" s="537">
        <f t="shared" ref="I187:I188" si="109">J187+K187</f>
        <v>0</v>
      </c>
      <c r="J187" s="539">
        <f>G187*E187</f>
        <v>0</v>
      </c>
      <c r="K187" s="537"/>
      <c r="L187" s="112"/>
      <c r="N187" s="10"/>
    </row>
    <row r="188" spans="1:14" x14ac:dyDescent="0.25">
      <c r="A188" s="139">
        <v>173</v>
      </c>
      <c r="B188" s="284" t="s">
        <v>218</v>
      </c>
      <c r="C188" s="44" t="s">
        <v>1</v>
      </c>
      <c r="D188" s="45">
        <v>1.1499999999999999</v>
      </c>
      <c r="E188" s="11">
        <f>E187*D188</f>
        <v>10.64</v>
      </c>
      <c r="F188" s="11">
        <f t="shared" si="108"/>
        <v>0</v>
      </c>
      <c r="G188" s="11"/>
      <c r="H188" s="540"/>
      <c r="I188" s="11">
        <f t="shared" si="109"/>
        <v>0</v>
      </c>
      <c r="J188" s="11"/>
      <c r="K188" s="11">
        <f>H188*E188</f>
        <v>0</v>
      </c>
      <c r="L188" s="106" t="s">
        <v>15</v>
      </c>
      <c r="N188" s="10"/>
    </row>
    <row r="189" spans="1:14" x14ac:dyDescent="0.25">
      <c r="A189" s="530">
        <v>174</v>
      </c>
      <c r="B189" s="131" t="s">
        <v>57</v>
      </c>
      <c r="C189" s="135" t="s">
        <v>1</v>
      </c>
      <c r="D189" s="133"/>
      <c r="E189" s="15">
        <f>Расч.!O11</f>
        <v>8.3000000000000007</v>
      </c>
      <c r="F189" s="537">
        <f t="shared" ref="F189:F190" si="110">G189+H189</f>
        <v>0</v>
      </c>
      <c r="G189" s="538"/>
      <c r="H189" s="537"/>
      <c r="I189" s="537">
        <f t="shared" ref="I189:I190" si="111">J189+K189</f>
        <v>0</v>
      </c>
      <c r="J189" s="539">
        <f>G189*E189</f>
        <v>0</v>
      </c>
      <c r="K189" s="537"/>
      <c r="L189" s="112"/>
      <c r="N189" s="10"/>
    </row>
    <row r="190" spans="1:14" ht="31.5" x14ac:dyDescent="0.25">
      <c r="A190" s="139">
        <v>175</v>
      </c>
      <c r="B190" s="134" t="s">
        <v>234</v>
      </c>
      <c r="C190" s="102" t="s">
        <v>27</v>
      </c>
      <c r="D190" s="103">
        <v>1.1000000000000001</v>
      </c>
      <c r="E190" s="11">
        <f>E189*D190*0.1</f>
        <v>0.91</v>
      </c>
      <c r="F190" s="11">
        <f t="shared" si="110"/>
        <v>0</v>
      </c>
      <c r="G190" s="11"/>
      <c r="H190" s="540"/>
      <c r="I190" s="11">
        <f t="shared" si="111"/>
        <v>0</v>
      </c>
      <c r="J190" s="11"/>
      <c r="K190" s="11">
        <f>H190*E190</f>
        <v>0</v>
      </c>
      <c r="L190" s="106" t="s">
        <v>15</v>
      </c>
      <c r="N190" s="10"/>
    </row>
    <row r="191" spans="1:14" x14ac:dyDescent="0.25">
      <c r="A191" s="530">
        <v>176</v>
      </c>
      <c r="B191" s="131" t="s">
        <v>60</v>
      </c>
      <c r="C191" s="135" t="s">
        <v>1</v>
      </c>
      <c r="D191" s="133"/>
      <c r="E191" s="15">
        <f>Расч.!O11</f>
        <v>8.3000000000000007</v>
      </c>
      <c r="F191" s="537">
        <f t="shared" ref="F191:F192" si="112">G191+H191</f>
        <v>0</v>
      </c>
      <c r="G191" s="538"/>
      <c r="H191" s="537"/>
      <c r="I191" s="537">
        <f t="shared" ref="I191:I192" si="113">J191+K191</f>
        <v>0</v>
      </c>
      <c r="J191" s="539">
        <f>G191*E191</f>
        <v>0</v>
      </c>
      <c r="K191" s="537"/>
      <c r="L191" s="112"/>
      <c r="N191" s="10"/>
    </row>
    <row r="192" spans="1:14" x14ac:dyDescent="0.25">
      <c r="A192" s="139">
        <v>177</v>
      </c>
      <c r="B192" s="134" t="s">
        <v>29</v>
      </c>
      <c r="C192" s="102" t="s">
        <v>1</v>
      </c>
      <c r="D192" s="103">
        <v>1.1499999999999999</v>
      </c>
      <c r="E192" s="11">
        <f>E191*D192</f>
        <v>9.5500000000000007</v>
      </c>
      <c r="F192" s="11">
        <f t="shared" si="112"/>
        <v>0</v>
      </c>
      <c r="G192" s="11"/>
      <c r="H192" s="540"/>
      <c r="I192" s="11">
        <f t="shared" si="113"/>
        <v>0</v>
      </c>
      <c r="J192" s="11"/>
      <c r="K192" s="11">
        <f>H192*E192</f>
        <v>0</v>
      </c>
      <c r="L192" s="106" t="s">
        <v>15</v>
      </c>
      <c r="N192" s="10"/>
    </row>
    <row r="193" spans="1:14" ht="47.25" x14ac:dyDescent="0.25">
      <c r="A193" s="530">
        <v>178</v>
      </c>
      <c r="B193" s="131" t="s">
        <v>94</v>
      </c>
      <c r="C193" s="135" t="s">
        <v>1</v>
      </c>
      <c r="D193" s="133"/>
      <c r="E193" s="15">
        <f>Расч.!O11</f>
        <v>8.3000000000000007</v>
      </c>
      <c r="F193" s="537">
        <f t="shared" ref="F193:F195" si="114">G193+H193</f>
        <v>0</v>
      </c>
      <c r="G193" s="538"/>
      <c r="H193" s="537"/>
      <c r="I193" s="537">
        <f t="shared" ref="I193:I195" si="115">J193+K193</f>
        <v>0</v>
      </c>
      <c r="J193" s="539">
        <f>G193*E193</f>
        <v>0</v>
      </c>
      <c r="K193" s="537"/>
      <c r="L193" s="112"/>
      <c r="N193" s="10"/>
    </row>
    <row r="194" spans="1:14" x14ac:dyDescent="0.25">
      <c r="A194" s="139">
        <v>179</v>
      </c>
      <c r="B194" s="138" t="s">
        <v>26</v>
      </c>
      <c r="C194" s="102" t="s">
        <v>27</v>
      </c>
      <c r="D194" s="137">
        <v>1.0149999999999999</v>
      </c>
      <c r="E194" s="11">
        <f>Расч.!T14*D194</f>
        <v>0.7</v>
      </c>
      <c r="F194" s="11">
        <f t="shared" si="114"/>
        <v>0</v>
      </c>
      <c r="G194" s="11"/>
      <c r="H194" s="540"/>
      <c r="I194" s="11">
        <f t="shared" si="115"/>
        <v>0</v>
      </c>
      <c r="J194" s="11"/>
      <c r="K194" s="11">
        <f>H194*E194</f>
        <v>0</v>
      </c>
      <c r="L194" s="106" t="s">
        <v>15</v>
      </c>
      <c r="N194" s="10"/>
    </row>
    <row r="195" spans="1:14" x14ac:dyDescent="0.25">
      <c r="A195" s="139">
        <v>180</v>
      </c>
      <c r="B195" s="138" t="s">
        <v>37</v>
      </c>
      <c r="C195" s="102" t="s">
        <v>1</v>
      </c>
      <c r="D195" s="103">
        <v>1.2</v>
      </c>
      <c r="E195" s="11">
        <f>E193*D195</f>
        <v>9.9600000000000009</v>
      </c>
      <c r="F195" s="11">
        <f t="shared" si="114"/>
        <v>0</v>
      </c>
      <c r="G195" s="11"/>
      <c r="H195" s="540"/>
      <c r="I195" s="11">
        <f t="shared" si="115"/>
        <v>0</v>
      </c>
      <c r="J195" s="11"/>
      <c r="K195" s="11">
        <f>H195*E195</f>
        <v>0</v>
      </c>
      <c r="L195" s="114" t="s">
        <v>15</v>
      </c>
      <c r="N195" s="10"/>
    </row>
    <row r="196" spans="1:14" ht="31.5" customHeight="1" x14ac:dyDescent="0.25">
      <c r="A196" s="530">
        <v>181</v>
      </c>
      <c r="B196" s="131" t="s">
        <v>61</v>
      </c>
      <c r="C196" s="135" t="s">
        <v>30</v>
      </c>
      <c r="D196" s="133"/>
      <c r="E196" s="15">
        <f>Расч.!O14</f>
        <v>9.5</v>
      </c>
      <c r="F196" s="537">
        <f t="shared" ref="F196:F197" si="116">G196+H196</f>
        <v>0</v>
      </c>
      <c r="G196" s="538"/>
      <c r="H196" s="537"/>
      <c r="I196" s="537">
        <f t="shared" ref="I196:I197" si="117">J196+K196</f>
        <v>0</v>
      </c>
      <c r="J196" s="539">
        <f>G196*E196</f>
        <v>0</v>
      </c>
      <c r="K196" s="537"/>
      <c r="L196" s="112"/>
      <c r="N196" s="10"/>
    </row>
    <row r="197" spans="1:14" x14ac:dyDescent="0.25">
      <c r="A197" s="139">
        <v>182</v>
      </c>
      <c r="B197" s="138" t="s">
        <v>26</v>
      </c>
      <c r="C197" s="102" t="s">
        <v>27</v>
      </c>
      <c r="D197" s="137">
        <v>5.0000000000000001E-3</v>
      </c>
      <c r="E197" s="11">
        <f>D197*E196</f>
        <v>0.05</v>
      </c>
      <c r="F197" s="11">
        <f t="shared" si="116"/>
        <v>0</v>
      </c>
      <c r="G197" s="11"/>
      <c r="H197" s="540"/>
      <c r="I197" s="11">
        <f t="shared" si="117"/>
        <v>0</v>
      </c>
      <c r="J197" s="11"/>
      <c r="K197" s="11">
        <f>H197*E197</f>
        <v>0</v>
      </c>
      <c r="L197" s="106" t="s">
        <v>15</v>
      </c>
      <c r="N197" s="10"/>
    </row>
    <row r="198" spans="1:14" ht="47.25" x14ac:dyDescent="0.25">
      <c r="A198" s="530">
        <v>183</v>
      </c>
      <c r="B198" s="131" t="s">
        <v>83</v>
      </c>
      <c r="C198" s="135" t="s">
        <v>1</v>
      </c>
      <c r="D198" s="133"/>
      <c r="E198" s="15">
        <f>Расч.!O11+Расч.!O14*0.3</f>
        <v>11.15</v>
      </c>
      <c r="F198" s="537">
        <f t="shared" ref="F198:F199" si="118">G198+H198</f>
        <v>0</v>
      </c>
      <c r="G198" s="538"/>
      <c r="H198" s="537"/>
      <c r="I198" s="537">
        <f t="shared" ref="I198:I199" si="119">J198+K198</f>
        <v>0</v>
      </c>
      <c r="J198" s="539">
        <f>G198*E198</f>
        <v>0</v>
      </c>
      <c r="K198" s="537"/>
      <c r="L198" s="112"/>
      <c r="N198" s="10"/>
    </row>
    <row r="199" spans="1:14" ht="31.5" x14ac:dyDescent="0.25">
      <c r="A199" s="139">
        <v>184</v>
      </c>
      <c r="B199" s="138" t="s">
        <v>84</v>
      </c>
      <c r="C199" s="102" t="s">
        <v>25</v>
      </c>
      <c r="D199" s="103">
        <v>0.35</v>
      </c>
      <c r="E199" s="11">
        <f>E198*D199</f>
        <v>3.9</v>
      </c>
      <c r="F199" s="11">
        <f t="shared" si="118"/>
        <v>0</v>
      </c>
      <c r="G199" s="11"/>
      <c r="H199" s="540"/>
      <c r="I199" s="11">
        <f t="shared" si="119"/>
        <v>0</v>
      </c>
      <c r="J199" s="11"/>
      <c r="K199" s="11">
        <f>H199*E199</f>
        <v>0</v>
      </c>
      <c r="L199" s="114" t="s">
        <v>15</v>
      </c>
      <c r="N199" s="10"/>
    </row>
    <row r="200" spans="1:14" ht="31.5" x14ac:dyDescent="0.25">
      <c r="A200" s="530">
        <v>185</v>
      </c>
      <c r="B200" s="131" t="s">
        <v>58</v>
      </c>
      <c r="C200" s="135" t="s">
        <v>1</v>
      </c>
      <c r="D200" s="133"/>
      <c r="E200" s="15">
        <f>Расч.!O11</f>
        <v>8.3000000000000007</v>
      </c>
      <c r="F200" s="537">
        <f t="shared" ref="F200:F203" si="120">G200+H200</f>
        <v>0</v>
      </c>
      <c r="G200" s="538"/>
      <c r="H200" s="537"/>
      <c r="I200" s="537">
        <f t="shared" ref="I200:I203" si="121">J200+K200</f>
        <v>0</v>
      </c>
      <c r="J200" s="539">
        <f>G200*E200</f>
        <v>0</v>
      </c>
      <c r="K200" s="537"/>
      <c r="L200" s="112"/>
      <c r="N200" s="10"/>
    </row>
    <row r="201" spans="1:14" x14ac:dyDescent="0.25">
      <c r="A201" s="139">
        <v>186</v>
      </c>
      <c r="B201" s="223" t="s">
        <v>68</v>
      </c>
      <c r="C201" s="245" t="s">
        <v>1</v>
      </c>
      <c r="D201" s="224">
        <v>1.1599999999999999</v>
      </c>
      <c r="E201" s="11">
        <f>E200*D201</f>
        <v>9.6300000000000008</v>
      </c>
      <c r="F201" s="11">
        <f t="shared" si="120"/>
        <v>0</v>
      </c>
      <c r="G201" s="11"/>
      <c r="H201" s="540"/>
      <c r="I201" s="11">
        <f t="shared" si="121"/>
        <v>0</v>
      </c>
      <c r="J201" s="11"/>
      <c r="K201" s="11">
        <f>H201*E201</f>
        <v>0</v>
      </c>
      <c r="L201" s="114" t="s">
        <v>15</v>
      </c>
      <c r="N201" s="10"/>
    </row>
    <row r="202" spans="1:14" x14ac:dyDescent="0.25">
      <c r="A202" s="139">
        <v>187</v>
      </c>
      <c r="B202" s="223" t="s">
        <v>219</v>
      </c>
      <c r="C202" s="245" t="s">
        <v>1</v>
      </c>
      <c r="D202" s="224">
        <v>1.1399999999999999</v>
      </c>
      <c r="E202" s="11">
        <f>E200*D202</f>
        <v>9.4600000000000009</v>
      </c>
      <c r="F202" s="11">
        <f t="shared" si="120"/>
        <v>0</v>
      </c>
      <c r="G202" s="11"/>
      <c r="H202" s="540"/>
      <c r="I202" s="11">
        <f t="shared" si="121"/>
        <v>0</v>
      </c>
      <c r="J202" s="11"/>
      <c r="K202" s="11">
        <f>H202*E202</f>
        <v>0</v>
      </c>
      <c r="L202" s="114" t="s">
        <v>15</v>
      </c>
      <c r="N202" s="10"/>
    </row>
    <row r="203" spans="1:14" x14ac:dyDescent="0.25">
      <c r="A203" s="139">
        <v>188</v>
      </c>
      <c r="B203" s="223" t="s">
        <v>28</v>
      </c>
      <c r="C203" s="285" t="s">
        <v>3</v>
      </c>
      <c r="D203" s="299">
        <v>0.6</v>
      </c>
      <c r="E203" s="11">
        <f>E200*D203</f>
        <v>4.9800000000000004</v>
      </c>
      <c r="F203" s="11">
        <f t="shared" si="120"/>
        <v>0</v>
      </c>
      <c r="G203" s="11"/>
      <c r="H203" s="540"/>
      <c r="I203" s="11">
        <f t="shared" si="121"/>
        <v>0</v>
      </c>
      <c r="J203" s="11"/>
      <c r="K203" s="11">
        <f>H203*E203</f>
        <v>0</v>
      </c>
      <c r="L203" s="106" t="s">
        <v>15</v>
      </c>
      <c r="N203" s="10"/>
    </row>
    <row r="204" spans="1:14" ht="31.5" x14ac:dyDescent="0.25">
      <c r="A204" s="530">
        <v>189</v>
      </c>
      <c r="B204" s="131" t="s">
        <v>35</v>
      </c>
      <c r="C204" s="135" t="s">
        <v>30</v>
      </c>
      <c r="D204" s="133"/>
      <c r="E204" s="15">
        <f>E196</f>
        <v>9.5</v>
      </c>
      <c r="F204" s="537">
        <f t="shared" ref="F204:F211" si="122">G204+H204</f>
        <v>0</v>
      </c>
      <c r="G204" s="538"/>
      <c r="H204" s="537"/>
      <c r="I204" s="537">
        <f t="shared" ref="I204:I211" si="123">J204+K204</f>
        <v>0</v>
      </c>
      <c r="J204" s="539">
        <f>G204*E204</f>
        <v>0</v>
      </c>
      <c r="K204" s="537"/>
      <c r="L204" s="112"/>
      <c r="N204" s="10"/>
    </row>
    <row r="205" spans="1:14" x14ac:dyDescent="0.25">
      <c r="A205" s="139">
        <v>190</v>
      </c>
      <c r="B205" s="223" t="s">
        <v>68</v>
      </c>
      <c r="C205" s="245" t="s">
        <v>1</v>
      </c>
      <c r="D205" s="224">
        <v>1.1599999999999999</v>
      </c>
      <c r="E205" s="11">
        <f>E204*0.5*D205</f>
        <v>5.51</v>
      </c>
      <c r="F205" s="11">
        <f t="shared" si="122"/>
        <v>0</v>
      </c>
      <c r="G205" s="11"/>
      <c r="H205" s="540"/>
      <c r="I205" s="11">
        <f t="shared" si="123"/>
        <v>0</v>
      </c>
      <c r="J205" s="11"/>
      <c r="K205" s="11">
        <f>H205*E205</f>
        <v>0</v>
      </c>
      <c r="L205" s="106" t="s">
        <v>15</v>
      </c>
      <c r="N205" s="10"/>
    </row>
    <row r="206" spans="1:14" x14ac:dyDescent="0.25">
      <c r="A206" s="139">
        <v>191</v>
      </c>
      <c r="B206" s="223" t="s">
        <v>219</v>
      </c>
      <c r="C206" s="245" t="s">
        <v>1</v>
      </c>
      <c r="D206" s="224">
        <v>1.1399999999999999</v>
      </c>
      <c r="E206" s="11">
        <f>E204*0.4*D206</f>
        <v>4.33</v>
      </c>
      <c r="F206" s="11">
        <f t="shared" si="122"/>
        <v>0</v>
      </c>
      <c r="G206" s="11"/>
      <c r="H206" s="540"/>
      <c r="I206" s="11">
        <f t="shared" si="123"/>
        <v>0</v>
      </c>
      <c r="J206" s="11"/>
      <c r="K206" s="11">
        <f>H206*E206</f>
        <v>0</v>
      </c>
      <c r="L206" s="106" t="s">
        <v>15</v>
      </c>
      <c r="N206" s="10"/>
    </row>
    <row r="207" spans="1:14" x14ac:dyDescent="0.25">
      <c r="A207" s="139">
        <v>192</v>
      </c>
      <c r="B207" s="223" t="s">
        <v>86</v>
      </c>
      <c r="C207" s="245" t="s">
        <v>27</v>
      </c>
      <c r="D207" s="224">
        <v>1.1399999999999999</v>
      </c>
      <c r="E207" s="11">
        <f>E204*0.25*D207</f>
        <v>2.71</v>
      </c>
      <c r="F207" s="11">
        <f t="shared" si="122"/>
        <v>0</v>
      </c>
      <c r="G207" s="11"/>
      <c r="H207" s="540"/>
      <c r="I207" s="11">
        <f t="shared" si="123"/>
        <v>0</v>
      </c>
      <c r="J207" s="11"/>
      <c r="K207" s="11">
        <f>H207*E207</f>
        <v>0</v>
      </c>
      <c r="L207" s="106" t="s">
        <v>15</v>
      </c>
      <c r="N207" s="10"/>
    </row>
    <row r="208" spans="1:14" x14ac:dyDescent="0.25">
      <c r="A208" s="139">
        <v>193</v>
      </c>
      <c r="B208" s="138" t="s">
        <v>28</v>
      </c>
      <c r="C208" s="140" t="s">
        <v>3</v>
      </c>
      <c r="D208" s="103">
        <v>0.6</v>
      </c>
      <c r="E208" s="11">
        <f>E204*D208</f>
        <v>5.7</v>
      </c>
      <c r="F208" s="11">
        <f t="shared" si="122"/>
        <v>0</v>
      </c>
      <c r="G208" s="11"/>
      <c r="H208" s="540"/>
      <c r="I208" s="11">
        <f t="shared" si="123"/>
        <v>0</v>
      </c>
      <c r="J208" s="11"/>
      <c r="K208" s="11">
        <f>H208*E208</f>
        <v>0</v>
      </c>
      <c r="L208" s="106" t="s">
        <v>15</v>
      </c>
      <c r="N208" s="10"/>
    </row>
    <row r="209" spans="1:38" ht="31.5" x14ac:dyDescent="0.25">
      <c r="A209" s="139">
        <v>194</v>
      </c>
      <c r="B209" s="138" t="s">
        <v>43</v>
      </c>
      <c r="C209" s="141" t="s">
        <v>2</v>
      </c>
      <c r="D209" s="103">
        <v>1.03</v>
      </c>
      <c r="E209" s="11">
        <f>E204*D209</f>
        <v>9.7899999999999991</v>
      </c>
      <c r="F209" s="11">
        <f t="shared" si="122"/>
        <v>0</v>
      </c>
      <c r="G209" s="11"/>
      <c r="H209" s="540"/>
      <c r="I209" s="11">
        <f t="shared" si="123"/>
        <v>0</v>
      </c>
      <c r="J209" s="11"/>
      <c r="K209" s="11">
        <f>H209*E209</f>
        <v>0</v>
      </c>
      <c r="L209" s="106" t="s">
        <v>15</v>
      </c>
      <c r="N209" s="10"/>
    </row>
    <row r="210" spans="1:38" x14ac:dyDescent="0.25">
      <c r="A210" s="139">
        <v>195</v>
      </c>
      <c r="B210" s="138" t="s">
        <v>31</v>
      </c>
      <c r="C210" s="142" t="s">
        <v>0</v>
      </c>
      <c r="D210" s="103">
        <v>5</v>
      </c>
      <c r="E210" s="11">
        <f>ROUND(E204*D210,0)</f>
        <v>48</v>
      </c>
      <c r="F210" s="11">
        <f t="shared" si="122"/>
        <v>0</v>
      </c>
      <c r="G210" s="11"/>
      <c r="H210" s="540"/>
      <c r="I210" s="11">
        <f t="shared" si="123"/>
        <v>0</v>
      </c>
      <c r="J210" s="11"/>
      <c r="K210" s="11">
        <f>H210*E210</f>
        <v>0</v>
      </c>
      <c r="L210" s="106" t="s">
        <v>15</v>
      </c>
      <c r="N210" s="10"/>
    </row>
    <row r="211" spans="1:38" ht="31.5" x14ac:dyDescent="0.25">
      <c r="A211" s="139">
        <v>196</v>
      </c>
      <c r="B211" s="138" t="s">
        <v>69</v>
      </c>
      <c r="C211" s="143" t="s">
        <v>0</v>
      </c>
      <c r="D211" s="103">
        <v>0.15</v>
      </c>
      <c r="E211" s="11">
        <f>ROUND(E204*D211,0)</f>
        <v>1</v>
      </c>
      <c r="F211" s="11">
        <f t="shared" si="122"/>
        <v>0</v>
      </c>
      <c r="G211" s="11"/>
      <c r="H211" s="540"/>
      <c r="I211" s="11">
        <f t="shared" si="123"/>
        <v>0</v>
      </c>
      <c r="J211" s="11"/>
      <c r="K211" s="11">
        <f>H211*E211</f>
        <v>0</v>
      </c>
      <c r="L211" s="106" t="s">
        <v>15</v>
      </c>
      <c r="N211" s="10"/>
    </row>
    <row r="212" spans="1:38" x14ac:dyDescent="0.25">
      <c r="A212" s="530">
        <v>197</v>
      </c>
      <c r="B212" s="203" t="s">
        <v>64</v>
      </c>
      <c r="C212" s="204" t="s">
        <v>30</v>
      </c>
      <c r="D212" s="133"/>
      <c r="E212" s="15">
        <f>Расч.!S75</f>
        <v>7.3</v>
      </c>
      <c r="F212" s="537">
        <f t="shared" ref="F212:F214" si="124">G212+H212</f>
        <v>0</v>
      </c>
      <c r="G212" s="538"/>
      <c r="H212" s="537"/>
      <c r="I212" s="537">
        <f t="shared" ref="I212:I214" si="125">J212+K212</f>
        <v>0</v>
      </c>
      <c r="J212" s="539">
        <f>G212*E212</f>
        <v>0</v>
      </c>
      <c r="K212" s="537"/>
      <c r="L212" s="112"/>
      <c r="N212" s="10"/>
    </row>
    <row r="213" spans="1:38" x14ac:dyDescent="0.25">
      <c r="A213" s="139">
        <v>198</v>
      </c>
      <c r="B213" s="138" t="s">
        <v>31</v>
      </c>
      <c r="C213" s="103" t="s">
        <v>0</v>
      </c>
      <c r="D213" s="103">
        <v>5</v>
      </c>
      <c r="E213" s="154">
        <f>ROUND(E212*D213,0)</f>
        <v>37</v>
      </c>
      <c r="F213" s="11">
        <f t="shared" si="124"/>
        <v>0</v>
      </c>
      <c r="G213" s="11"/>
      <c r="H213" s="540"/>
      <c r="I213" s="11">
        <f t="shared" si="125"/>
        <v>0</v>
      </c>
      <c r="J213" s="11"/>
      <c r="K213" s="11">
        <f>H213*E213</f>
        <v>0</v>
      </c>
      <c r="L213" s="106" t="s">
        <v>15</v>
      </c>
      <c r="N213" s="10"/>
    </row>
    <row r="214" spans="1:38" ht="33" customHeight="1" x14ac:dyDescent="0.25">
      <c r="A214" s="139">
        <v>199</v>
      </c>
      <c r="B214" s="223" t="s">
        <v>233</v>
      </c>
      <c r="C214" s="102" t="s">
        <v>2</v>
      </c>
      <c r="D214" s="103">
        <v>1.1000000000000001</v>
      </c>
      <c r="E214" s="11">
        <f>E212*D214</f>
        <v>8.0299999999999994</v>
      </c>
      <c r="F214" s="11">
        <f t="shared" si="124"/>
        <v>0</v>
      </c>
      <c r="G214" s="11"/>
      <c r="H214" s="540"/>
      <c r="I214" s="11">
        <f t="shared" si="125"/>
        <v>0</v>
      </c>
      <c r="J214" s="11"/>
      <c r="K214" s="11">
        <f>H214*E214</f>
        <v>0</v>
      </c>
      <c r="L214" s="114" t="s">
        <v>95</v>
      </c>
      <c r="N214" s="10"/>
    </row>
    <row r="215" spans="1:38" x14ac:dyDescent="0.25">
      <c r="A215" s="300"/>
      <c r="B215" s="150" t="s">
        <v>118</v>
      </c>
      <c r="C215" s="151"/>
      <c r="D215" s="152"/>
      <c r="E215" s="152"/>
      <c r="F215" s="152"/>
      <c r="G215" s="152"/>
      <c r="H215" s="152"/>
      <c r="I215" s="152"/>
      <c r="J215" s="152"/>
      <c r="K215" s="152"/>
      <c r="L215" s="153"/>
      <c r="N215" s="10"/>
    </row>
    <row r="216" spans="1:38" ht="31.5" x14ac:dyDescent="0.25">
      <c r="A216" s="531">
        <v>200</v>
      </c>
      <c r="B216" s="40" t="s">
        <v>217</v>
      </c>
      <c r="C216" s="135" t="s">
        <v>1</v>
      </c>
      <c r="D216" s="133"/>
      <c r="E216" s="136">
        <f>Расч.!Y11+Расч.!Y14*0.1</f>
        <v>18.04</v>
      </c>
      <c r="F216" s="537">
        <f t="shared" ref="F216:F217" si="126">G216+H216</f>
        <v>0</v>
      </c>
      <c r="G216" s="538"/>
      <c r="H216" s="537"/>
      <c r="I216" s="537">
        <f t="shared" ref="I216:I217" si="127">J216+K216</f>
        <v>0</v>
      </c>
      <c r="J216" s="539">
        <f>G216*E216</f>
        <v>0</v>
      </c>
      <c r="K216" s="537"/>
      <c r="L216" s="112"/>
      <c r="N216" s="10"/>
    </row>
    <row r="217" spans="1:38" x14ac:dyDescent="0.25">
      <c r="A217" s="257">
        <v>201</v>
      </c>
      <c r="B217" s="284" t="s">
        <v>240</v>
      </c>
      <c r="C217" s="102" t="s">
        <v>1</v>
      </c>
      <c r="D217" s="103">
        <v>1.1499999999999999</v>
      </c>
      <c r="E217" s="11">
        <f>E216*D217</f>
        <v>20.75</v>
      </c>
      <c r="F217" s="11">
        <f t="shared" si="126"/>
        <v>0</v>
      </c>
      <c r="G217" s="11"/>
      <c r="H217" s="540"/>
      <c r="I217" s="11">
        <f t="shared" si="127"/>
        <v>0</v>
      </c>
      <c r="J217" s="11"/>
      <c r="K217" s="11">
        <f>H217*E217</f>
        <v>0</v>
      </c>
      <c r="L217" s="106" t="s">
        <v>15</v>
      </c>
      <c r="AL217" s="10"/>
    </row>
    <row r="218" spans="1:38" x14ac:dyDescent="0.25">
      <c r="A218" s="531">
        <v>202</v>
      </c>
      <c r="B218" s="131" t="s">
        <v>57</v>
      </c>
      <c r="C218" s="135" t="s">
        <v>1</v>
      </c>
      <c r="D218" s="133"/>
      <c r="E218" s="15">
        <f>Расч.!Y11</f>
        <v>15.5</v>
      </c>
      <c r="F218" s="537">
        <f t="shared" ref="F218:F219" si="128">G218+H218</f>
        <v>0</v>
      </c>
      <c r="G218" s="538"/>
      <c r="H218" s="537"/>
      <c r="I218" s="537">
        <f t="shared" ref="I218:I219" si="129">J218+K218</f>
        <v>0</v>
      </c>
      <c r="J218" s="539">
        <f>G218*E218</f>
        <v>0</v>
      </c>
      <c r="K218" s="537"/>
      <c r="L218" s="112"/>
      <c r="AL218" s="10"/>
    </row>
    <row r="219" spans="1:38" ht="31.5" x14ac:dyDescent="0.25">
      <c r="A219" s="257">
        <v>203</v>
      </c>
      <c r="B219" s="134" t="s">
        <v>234</v>
      </c>
      <c r="C219" s="102" t="s">
        <v>27</v>
      </c>
      <c r="D219" s="103">
        <v>1.1000000000000001</v>
      </c>
      <c r="E219" s="11">
        <f>E218*D219*0.1</f>
        <v>1.71</v>
      </c>
      <c r="F219" s="11">
        <f t="shared" si="128"/>
        <v>0</v>
      </c>
      <c r="G219" s="11"/>
      <c r="H219" s="540"/>
      <c r="I219" s="11">
        <f t="shared" si="129"/>
        <v>0</v>
      </c>
      <c r="J219" s="11"/>
      <c r="K219" s="11">
        <f>H219*E219</f>
        <v>0</v>
      </c>
      <c r="L219" s="106" t="s">
        <v>15</v>
      </c>
      <c r="AL219" s="10"/>
    </row>
    <row r="220" spans="1:38" x14ac:dyDescent="0.25">
      <c r="A220" s="531">
        <v>204</v>
      </c>
      <c r="B220" s="131" t="s">
        <v>60</v>
      </c>
      <c r="C220" s="135" t="s">
        <v>1</v>
      </c>
      <c r="D220" s="133"/>
      <c r="E220" s="15">
        <f>E218</f>
        <v>15.5</v>
      </c>
      <c r="F220" s="537">
        <f t="shared" ref="F220:F221" si="130">G220+H220</f>
        <v>0</v>
      </c>
      <c r="G220" s="538"/>
      <c r="H220" s="537"/>
      <c r="I220" s="537">
        <f t="shared" ref="I220:I221" si="131">J220+K220</f>
        <v>0</v>
      </c>
      <c r="J220" s="539">
        <f>G220*E220</f>
        <v>0</v>
      </c>
      <c r="K220" s="537"/>
      <c r="L220" s="112"/>
      <c r="AL220" s="10"/>
    </row>
    <row r="221" spans="1:38" x14ac:dyDescent="0.25">
      <c r="A221" s="257">
        <v>205</v>
      </c>
      <c r="B221" s="134" t="s">
        <v>29</v>
      </c>
      <c r="C221" s="102" t="s">
        <v>1</v>
      </c>
      <c r="D221" s="103">
        <v>1.1499999999999999</v>
      </c>
      <c r="E221" s="11">
        <f>E220*D221</f>
        <v>17.829999999999998</v>
      </c>
      <c r="F221" s="11">
        <f t="shared" si="130"/>
        <v>0</v>
      </c>
      <c r="G221" s="11"/>
      <c r="H221" s="540"/>
      <c r="I221" s="11">
        <f t="shared" si="131"/>
        <v>0</v>
      </c>
      <c r="J221" s="11"/>
      <c r="K221" s="11">
        <f>H221*E221</f>
        <v>0</v>
      </c>
      <c r="L221" s="106" t="s">
        <v>15</v>
      </c>
      <c r="AL221" s="10"/>
    </row>
    <row r="222" spans="1:38" ht="47.25" x14ac:dyDescent="0.25">
      <c r="A222" s="531">
        <v>206</v>
      </c>
      <c r="B222" s="131" t="s">
        <v>120</v>
      </c>
      <c r="C222" s="135" t="s">
        <v>1</v>
      </c>
      <c r="D222" s="133"/>
      <c r="E222" s="15">
        <f>E218</f>
        <v>15.5</v>
      </c>
      <c r="F222" s="537">
        <f t="shared" ref="F222:F224" si="132">G222+H222</f>
        <v>0</v>
      </c>
      <c r="G222" s="538"/>
      <c r="H222" s="537"/>
      <c r="I222" s="537">
        <f t="shared" ref="I222:I224" si="133">J222+K222</f>
        <v>0</v>
      </c>
      <c r="J222" s="539">
        <f>G222*E222</f>
        <v>0</v>
      </c>
      <c r="K222" s="537"/>
      <c r="L222" s="112"/>
      <c r="AL222" s="10"/>
    </row>
    <row r="223" spans="1:38" x14ac:dyDescent="0.25">
      <c r="A223" s="257">
        <v>207</v>
      </c>
      <c r="B223" s="138" t="s">
        <v>26</v>
      </c>
      <c r="C223" s="102" t="s">
        <v>27</v>
      </c>
      <c r="D223" s="137">
        <v>1.0149999999999999</v>
      </c>
      <c r="E223" s="11">
        <f>Расч.!AD14*D223</f>
        <v>1.21</v>
      </c>
      <c r="F223" s="11">
        <f t="shared" si="132"/>
        <v>0</v>
      </c>
      <c r="G223" s="11"/>
      <c r="H223" s="540"/>
      <c r="I223" s="11">
        <f t="shared" si="133"/>
        <v>0</v>
      </c>
      <c r="J223" s="11"/>
      <c r="K223" s="11">
        <f>H223*E223</f>
        <v>0</v>
      </c>
      <c r="L223" s="106" t="s">
        <v>15</v>
      </c>
      <c r="AL223" s="10"/>
    </row>
    <row r="224" spans="1:38" x14ac:dyDescent="0.25">
      <c r="A224" s="256">
        <v>208</v>
      </c>
      <c r="B224" s="138" t="s">
        <v>37</v>
      </c>
      <c r="C224" s="102" t="s">
        <v>1</v>
      </c>
      <c r="D224" s="103">
        <v>1.2</v>
      </c>
      <c r="E224" s="11">
        <f>E222*D224</f>
        <v>18.600000000000001</v>
      </c>
      <c r="F224" s="11">
        <f t="shared" si="132"/>
        <v>0</v>
      </c>
      <c r="G224" s="11"/>
      <c r="H224" s="540"/>
      <c r="I224" s="11">
        <f t="shared" si="133"/>
        <v>0</v>
      </c>
      <c r="J224" s="11"/>
      <c r="K224" s="11">
        <f>H224*E224</f>
        <v>0</v>
      </c>
      <c r="L224" s="114" t="s">
        <v>15</v>
      </c>
      <c r="AL224" s="10"/>
    </row>
    <row r="225" spans="1:38" ht="31.5" customHeight="1" x14ac:dyDescent="0.25">
      <c r="A225" s="532">
        <v>209</v>
      </c>
      <c r="B225" s="131" t="s">
        <v>61</v>
      </c>
      <c r="C225" s="135" t="s">
        <v>30</v>
      </c>
      <c r="D225" s="133"/>
      <c r="E225" s="15">
        <f>Расч.!Y14</f>
        <v>25.4</v>
      </c>
      <c r="F225" s="537">
        <f t="shared" ref="F225:F226" si="134">G225+H225</f>
        <v>0</v>
      </c>
      <c r="G225" s="538"/>
      <c r="H225" s="537"/>
      <c r="I225" s="537">
        <f t="shared" ref="I225:I226" si="135">J225+K225</f>
        <v>0</v>
      </c>
      <c r="J225" s="539">
        <f>G225*E225</f>
        <v>0</v>
      </c>
      <c r="K225" s="537"/>
      <c r="L225" s="112"/>
      <c r="AL225" s="10"/>
    </row>
    <row r="226" spans="1:38" x14ac:dyDescent="0.25">
      <c r="A226" s="256">
        <v>210</v>
      </c>
      <c r="B226" s="138" t="s">
        <v>26</v>
      </c>
      <c r="C226" s="102" t="s">
        <v>27</v>
      </c>
      <c r="D226" s="137">
        <v>5.0000000000000001E-3</v>
      </c>
      <c r="E226" s="11">
        <f>D226*E225</f>
        <v>0.13</v>
      </c>
      <c r="F226" s="11">
        <f t="shared" si="134"/>
        <v>0</v>
      </c>
      <c r="G226" s="11"/>
      <c r="H226" s="540"/>
      <c r="I226" s="11">
        <f t="shared" si="135"/>
        <v>0</v>
      </c>
      <c r="J226" s="11"/>
      <c r="K226" s="11">
        <f>H226*E226</f>
        <v>0</v>
      </c>
      <c r="L226" s="106" t="s">
        <v>15</v>
      </c>
      <c r="AL226" s="10"/>
    </row>
    <row r="227" spans="1:38" ht="47.25" x14ac:dyDescent="0.25">
      <c r="A227" s="532">
        <v>211</v>
      </c>
      <c r="B227" s="131" t="s">
        <v>83</v>
      </c>
      <c r="C227" s="135" t="s">
        <v>1</v>
      </c>
      <c r="D227" s="133"/>
      <c r="E227" s="15">
        <f>Расч.!Y11+Расч.!Y14*0.3</f>
        <v>23.12</v>
      </c>
      <c r="F227" s="537">
        <f t="shared" ref="F227:F228" si="136">G227+H227</f>
        <v>0</v>
      </c>
      <c r="G227" s="538"/>
      <c r="H227" s="537"/>
      <c r="I227" s="537">
        <f t="shared" ref="I227:I228" si="137">J227+K227</f>
        <v>0</v>
      </c>
      <c r="J227" s="539">
        <f>G227*E227</f>
        <v>0</v>
      </c>
      <c r="K227" s="537"/>
      <c r="L227" s="112"/>
      <c r="AL227" s="10"/>
    </row>
    <row r="228" spans="1:38" ht="31.5" x14ac:dyDescent="0.25">
      <c r="A228" s="256">
        <v>212</v>
      </c>
      <c r="B228" s="138" t="s">
        <v>84</v>
      </c>
      <c r="C228" s="102" t="s">
        <v>25</v>
      </c>
      <c r="D228" s="103">
        <v>0.35</v>
      </c>
      <c r="E228" s="11">
        <f>E227*D228</f>
        <v>8.09</v>
      </c>
      <c r="F228" s="11">
        <f t="shared" si="136"/>
        <v>0</v>
      </c>
      <c r="G228" s="11"/>
      <c r="H228" s="540"/>
      <c r="I228" s="11">
        <f t="shared" si="137"/>
        <v>0</v>
      </c>
      <c r="J228" s="11"/>
      <c r="K228" s="11">
        <f>H228*E228</f>
        <v>0</v>
      </c>
      <c r="L228" s="114" t="s">
        <v>15</v>
      </c>
      <c r="AL228" s="10"/>
    </row>
    <row r="229" spans="1:38" ht="31.5" x14ac:dyDescent="0.25">
      <c r="A229" s="532">
        <v>213</v>
      </c>
      <c r="B229" s="131" t="s">
        <v>58</v>
      </c>
      <c r="C229" s="135" t="s">
        <v>1</v>
      </c>
      <c r="D229" s="133"/>
      <c r="E229" s="15">
        <f>Расч.!Y11</f>
        <v>15.5</v>
      </c>
      <c r="F229" s="537">
        <f t="shared" ref="F229:F232" si="138">G229+H229</f>
        <v>0</v>
      </c>
      <c r="G229" s="538"/>
      <c r="H229" s="537"/>
      <c r="I229" s="537">
        <f t="shared" ref="I229:I232" si="139">J229+K229</f>
        <v>0</v>
      </c>
      <c r="J229" s="539">
        <f>G229*E229</f>
        <v>0</v>
      </c>
      <c r="K229" s="537"/>
      <c r="L229" s="112"/>
      <c r="AL229" s="10"/>
    </row>
    <row r="230" spans="1:38" x14ac:dyDescent="0.25">
      <c r="A230" s="256">
        <v>214</v>
      </c>
      <c r="B230" s="223" t="s">
        <v>68</v>
      </c>
      <c r="C230" s="245" t="s">
        <v>1</v>
      </c>
      <c r="D230" s="224">
        <v>1.1599999999999999</v>
      </c>
      <c r="E230" s="11">
        <f>E229*D230</f>
        <v>17.98</v>
      </c>
      <c r="F230" s="11">
        <f t="shared" si="138"/>
        <v>0</v>
      </c>
      <c r="G230" s="11"/>
      <c r="H230" s="540"/>
      <c r="I230" s="11">
        <f t="shared" si="139"/>
        <v>0</v>
      </c>
      <c r="J230" s="11"/>
      <c r="K230" s="11">
        <f>H230*E230</f>
        <v>0</v>
      </c>
      <c r="L230" s="114" t="s">
        <v>15</v>
      </c>
      <c r="AL230" s="10"/>
    </row>
    <row r="231" spans="1:38" x14ac:dyDescent="0.25">
      <c r="A231" s="257">
        <v>215</v>
      </c>
      <c r="B231" s="223" t="s">
        <v>219</v>
      </c>
      <c r="C231" s="245" t="s">
        <v>1</v>
      </c>
      <c r="D231" s="224">
        <v>1.1399999999999999</v>
      </c>
      <c r="E231" s="11">
        <f>E229*D231</f>
        <v>17.670000000000002</v>
      </c>
      <c r="F231" s="11">
        <f t="shared" si="138"/>
        <v>0</v>
      </c>
      <c r="G231" s="11"/>
      <c r="H231" s="540"/>
      <c r="I231" s="11">
        <f t="shared" si="139"/>
        <v>0</v>
      </c>
      <c r="J231" s="11"/>
      <c r="K231" s="11">
        <f>H231*E231</f>
        <v>0</v>
      </c>
      <c r="L231" s="114" t="s">
        <v>15</v>
      </c>
      <c r="AL231" s="10"/>
    </row>
    <row r="232" spans="1:38" x14ac:dyDescent="0.25">
      <c r="A232" s="256">
        <v>216</v>
      </c>
      <c r="B232" s="223" t="s">
        <v>28</v>
      </c>
      <c r="C232" s="285" t="s">
        <v>3</v>
      </c>
      <c r="D232" s="299">
        <v>0.6</v>
      </c>
      <c r="E232" s="11">
        <f>E229*D232</f>
        <v>9.3000000000000007</v>
      </c>
      <c r="F232" s="11">
        <f t="shared" si="138"/>
        <v>0</v>
      </c>
      <c r="G232" s="11"/>
      <c r="H232" s="540"/>
      <c r="I232" s="11">
        <f t="shared" si="139"/>
        <v>0</v>
      </c>
      <c r="J232" s="11"/>
      <c r="K232" s="11">
        <f>H232*E232</f>
        <v>0</v>
      </c>
      <c r="L232" s="106" t="s">
        <v>15</v>
      </c>
      <c r="AL232" s="10"/>
    </row>
    <row r="233" spans="1:38" ht="31.5" x14ac:dyDescent="0.25">
      <c r="A233" s="532">
        <v>217</v>
      </c>
      <c r="B233" s="131" t="s">
        <v>35</v>
      </c>
      <c r="C233" s="135" t="s">
        <v>30</v>
      </c>
      <c r="D233" s="133"/>
      <c r="E233" s="15">
        <f>E225</f>
        <v>25.4</v>
      </c>
      <c r="F233" s="537">
        <f t="shared" ref="F233:F240" si="140">G233+H233</f>
        <v>0</v>
      </c>
      <c r="G233" s="538"/>
      <c r="H233" s="537"/>
      <c r="I233" s="537">
        <f t="shared" ref="I233:I240" si="141">J233+K233</f>
        <v>0</v>
      </c>
      <c r="J233" s="539">
        <f>G233*E233</f>
        <v>0</v>
      </c>
      <c r="K233" s="537"/>
      <c r="L233" s="112"/>
      <c r="AL233" s="10"/>
    </row>
    <row r="234" spans="1:38" x14ac:dyDescent="0.25">
      <c r="A234" s="256">
        <v>218</v>
      </c>
      <c r="B234" s="223" t="s">
        <v>68</v>
      </c>
      <c r="C234" s="245" t="s">
        <v>1</v>
      </c>
      <c r="D234" s="224">
        <v>1.1599999999999999</v>
      </c>
      <c r="E234" s="11">
        <f>E233*0.5*D234</f>
        <v>14.73</v>
      </c>
      <c r="F234" s="11">
        <f t="shared" si="140"/>
        <v>0</v>
      </c>
      <c r="G234" s="11"/>
      <c r="H234" s="540"/>
      <c r="I234" s="11">
        <f t="shared" si="141"/>
        <v>0</v>
      </c>
      <c r="J234" s="11"/>
      <c r="K234" s="11">
        <f>H234*E234</f>
        <v>0</v>
      </c>
      <c r="L234" s="106" t="s">
        <v>15</v>
      </c>
      <c r="AL234" s="10"/>
    </row>
    <row r="235" spans="1:38" x14ac:dyDescent="0.25">
      <c r="A235" s="257">
        <v>219</v>
      </c>
      <c r="B235" s="223" t="s">
        <v>219</v>
      </c>
      <c r="C235" s="245" t="s">
        <v>1</v>
      </c>
      <c r="D235" s="224">
        <v>1.1399999999999999</v>
      </c>
      <c r="E235" s="11">
        <f>E233*0.4*D235</f>
        <v>11.58</v>
      </c>
      <c r="F235" s="11">
        <f t="shared" si="140"/>
        <v>0</v>
      </c>
      <c r="G235" s="11"/>
      <c r="H235" s="540"/>
      <c r="I235" s="11">
        <f t="shared" si="141"/>
        <v>0</v>
      </c>
      <c r="J235" s="11"/>
      <c r="K235" s="11">
        <f>H235*E235</f>
        <v>0</v>
      </c>
      <c r="L235" s="106" t="s">
        <v>15</v>
      </c>
      <c r="AL235" s="10"/>
    </row>
    <row r="236" spans="1:38" x14ac:dyDescent="0.25">
      <c r="A236" s="256">
        <v>220</v>
      </c>
      <c r="B236" s="223" t="s">
        <v>86</v>
      </c>
      <c r="C236" s="245" t="s">
        <v>27</v>
      </c>
      <c r="D236" s="224">
        <v>1.1399999999999999</v>
      </c>
      <c r="E236" s="11">
        <f>E233*0.25*D236</f>
        <v>7.24</v>
      </c>
      <c r="F236" s="11">
        <f t="shared" si="140"/>
        <v>0</v>
      </c>
      <c r="G236" s="11"/>
      <c r="H236" s="540"/>
      <c r="I236" s="11">
        <f t="shared" si="141"/>
        <v>0</v>
      </c>
      <c r="J236" s="11"/>
      <c r="K236" s="11">
        <f>H236*E236</f>
        <v>0</v>
      </c>
      <c r="L236" s="106" t="s">
        <v>15</v>
      </c>
      <c r="AL236" s="10"/>
    </row>
    <row r="237" spans="1:38" x14ac:dyDescent="0.25">
      <c r="A237" s="256">
        <v>221</v>
      </c>
      <c r="B237" s="138" t="s">
        <v>28</v>
      </c>
      <c r="C237" s="140" t="s">
        <v>3</v>
      </c>
      <c r="D237" s="103">
        <v>0.6</v>
      </c>
      <c r="E237" s="11">
        <f>E233*D237</f>
        <v>15.24</v>
      </c>
      <c r="F237" s="11">
        <f t="shared" si="140"/>
        <v>0</v>
      </c>
      <c r="G237" s="11"/>
      <c r="H237" s="540"/>
      <c r="I237" s="11">
        <f t="shared" si="141"/>
        <v>0</v>
      </c>
      <c r="J237" s="11"/>
      <c r="K237" s="11">
        <f>H237*E237</f>
        <v>0</v>
      </c>
      <c r="L237" s="106" t="s">
        <v>15</v>
      </c>
      <c r="AL237" s="10"/>
    </row>
    <row r="238" spans="1:38" ht="31.5" x14ac:dyDescent="0.25">
      <c r="A238" s="257">
        <v>222</v>
      </c>
      <c r="B238" s="138" t="s">
        <v>43</v>
      </c>
      <c r="C238" s="141" t="s">
        <v>2</v>
      </c>
      <c r="D238" s="103">
        <v>1.03</v>
      </c>
      <c r="E238" s="11">
        <f>E233*D238</f>
        <v>26.16</v>
      </c>
      <c r="F238" s="11">
        <f t="shared" si="140"/>
        <v>0</v>
      </c>
      <c r="G238" s="11"/>
      <c r="H238" s="540"/>
      <c r="I238" s="11">
        <f t="shared" si="141"/>
        <v>0</v>
      </c>
      <c r="J238" s="11"/>
      <c r="K238" s="11">
        <f>H238*E238</f>
        <v>0</v>
      </c>
      <c r="L238" s="106" t="s">
        <v>15</v>
      </c>
      <c r="AL238" s="10"/>
    </row>
    <row r="239" spans="1:38" x14ac:dyDescent="0.25">
      <c r="A239" s="256">
        <v>223</v>
      </c>
      <c r="B239" s="138" t="s">
        <v>31</v>
      </c>
      <c r="C239" s="142" t="s">
        <v>0</v>
      </c>
      <c r="D239" s="103">
        <v>5</v>
      </c>
      <c r="E239" s="11">
        <f>ROUND(E233*D239,0)</f>
        <v>127</v>
      </c>
      <c r="F239" s="11">
        <f t="shared" si="140"/>
        <v>0</v>
      </c>
      <c r="G239" s="11"/>
      <c r="H239" s="540"/>
      <c r="I239" s="11">
        <f t="shared" si="141"/>
        <v>0</v>
      </c>
      <c r="J239" s="11"/>
      <c r="K239" s="11">
        <f>H239*E239</f>
        <v>0</v>
      </c>
      <c r="L239" s="106" t="s">
        <v>15</v>
      </c>
      <c r="AL239" s="10"/>
    </row>
    <row r="240" spans="1:38" ht="31.5" x14ac:dyDescent="0.25">
      <c r="A240" s="257">
        <v>224</v>
      </c>
      <c r="B240" s="138" t="s">
        <v>69</v>
      </c>
      <c r="C240" s="143" t="s">
        <v>0</v>
      </c>
      <c r="D240" s="103">
        <v>0.15</v>
      </c>
      <c r="E240" s="11">
        <f>ROUND(E233*D240,)</f>
        <v>4</v>
      </c>
      <c r="F240" s="11">
        <f t="shared" si="140"/>
        <v>0</v>
      </c>
      <c r="G240" s="11"/>
      <c r="H240" s="540"/>
      <c r="I240" s="11">
        <f t="shared" si="141"/>
        <v>0</v>
      </c>
      <c r="J240" s="11"/>
      <c r="K240" s="11">
        <f>H240*E240</f>
        <v>0</v>
      </c>
      <c r="L240" s="106" t="s">
        <v>15</v>
      </c>
      <c r="AL240" s="10"/>
    </row>
    <row r="241" spans="1:38" x14ac:dyDescent="0.25">
      <c r="A241" s="531">
        <v>225</v>
      </c>
      <c r="B241" s="131" t="s">
        <v>59</v>
      </c>
      <c r="C241" s="135" t="s">
        <v>30</v>
      </c>
      <c r="D241" s="133"/>
      <c r="E241" s="15">
        <f>13.84+7.3</f>
        <v>21.14</v>
      </c>
      <c r="F241" s="537">
        <f t="shared" ref="F241:F246" si="142">G241+H241</f>
        <v>0</v>
      </c>
      <c r="G241" s="538"/>
      <c r="H241" s="537"/>
      <c r="I241" s="537">
        <f t="shared" ref="I241:I246" si="143">J241+K241</f>
        <v>0</v>
      </c>
      <c r="J241" s="539">
        <f>G241*E241</f>
        <v>0</v>
      </c>
      <c r="K241" s="537"/>
      <c r="L241" s="112"/>
      <c r="AL241" s="10"/>
    </row>
    <row r="242" spans="1:38" x14ac:dyDescent="0.25">
      <c r="A242" s="257">
        <v>226</v>
      </c>
      <c r="B242" s="138" t="s">
        <v>31</v>
      </c>
      <c r="C242" s="103" t="s">
        <v>0</v>
      </c>
      <c r="D242" s="103">
        <v>5</v>
      </c>
      <c r="E242" s="154">
        <f>ROUND(E241*D242,0)</f>
        <v>106</v>
      </c>
      <c r="F242" s="11">
        <f t="shared" si="142"/>
        <v>0</v>
      </c>
      <c r="G242" s="11"/>
      <c r="H242" s="540"/>
      <c r="I242" s="11">
        <f t="shared" si="143"/>
        <v>0</v>
      </c>
      <c r="J242" s="11"/>
      <c r="K242" s="11">
        <f>H242*E242</f>
        <v>0</v>
      </c>
      <c r="L242" s="114" t="s">
        <v>119</v>
      </c>
      <c r="AL242" s="10"/>
    </row>
    <row r="243" spans="1:38" ht="47.25" x14ac:dyDescent="0.25">
      <c r="A243" s="256">
        <v>227</v>
      </c>
      <c r="B243" s="138" t="s">
        <v>143</v>
      </c>
      <c r="C243" s="102" t="s">
        <v>2</v>
      </c>
      <c r="D243" s="103">
        <v>1.1000000000000001</v>
      </c>
      <c r="E243" s="11">
        <f>13.84*D243</f>
        <v>15.22</v>
      </c>
      <c r="F243" s="11">
        <f t="shared" si="142"/>
        <v>0</v>
      </c>
      <c r="G243" s="11"/>
      <c r="H243" s="540"/>
      <c r="I243" s="11">
        <f t="shared" si="143"/>
        <v>0</v>
      </c>
      <c r="J243" s="11"/>
      <c r="K243" s="11">
        <f>H243*E243</f>
        <v>0</v>
      </c>
      <c r="L243" s="114" t="s">
        <v>119</v>
      </c>
      <c r="AL243" s="10"/>
    </row>
    <row r="244" spans="1:38" ht="47.25" x14ac:dyDescent="0.25">
      <c r="A244" s="257">
        <v>228</v>
      </c>
      <c r="B244" s="55" t="s">
        <v>141</v>
      </c>
      <c r="C244" s="53" t="s">
        <v>2</v>
      </c>
      <c r="D244" s="54">
        <v>1.1000000000000001</v>
      </c>
      <c r="E244" s="11">
        <f>7.3*D244</f>
        <v>8.0299999999999994</v>
      </c>
      <c r="F244" s="11">
        <f t="shared" si="142"/>
        <v>0</v>
      </c>
      <c r="G244" s="11"/>
      <c r="H244" s="540"/>
      <c r="I244" s="11">
        <f t="shared" si="143"/>
        <v>0</v>
      </c>
      <c r="J244" s="11"/>
      <c r="K244" s="11">
        <f>H244*E244</f>
        <v>0</v>
      </c>
      <c r="L244" s="114" t="s">
        <v>119</v>
      </c>
      <c r="AL244" s="10"/>
    </row>
    <row r="245" spans="1:38" x14ac:dyDescent="0.25">
      <c r="A245" s="256">
        <v>229</v>
      </c>
      <c r="B245" s="138" t="s">
        <v>34</v>
      </c>
      <c r="C245" s="102" t="s">
        <v>0</v>
      </c>
      <c r="D245" s="103">
        <v>1.66</v>
      </c>
      <c r="E245" s="11">
        <f>ROUNDUP(D245*E241,0)</f>
        <v>36</v>
      </c>
      <c r="F245" s="11">
        <f t="shared" si="142"/>
        <v>0</v>
      </c>
      <c r="G245" s="11"/>
      <c r="H245" s="540"/>
      <c r="I245" s="11">
        <f t="shared" si="143"/>
        <v>0</v>
      </c>
      <c r="J245" s="11"/>
      <c r="K245" s="11">
        <f>H245*E245</f>
        <v>0</v>
      </c>
      <c r="L245" s="106" t="s">
        <v>15</v>
      </c>
      <c r="AL245" s="10"/>
    </row>
    <row r="246" spans="1:38" x14ac:dyDescent="0.25">
      <c r="A246" s="257">
        <v>230</v>
      </c>
      <c r="B246" s="138" t="s">
        <v>26</v>
      </c>
      <c r="C246" s="102" t="s">
        <v>27</v>
      </c>
      <c r="D246" s="137">
        <v>1.0149999999999999</v>
      </c>
      <c r="E246" s="11">
        <f>7.3*0.12*0.03*D246</f>
        <v>0.03</v>
      </c>
      <c r="F246" s="11">
        <f t="shared" si="142"/>
        <v>0</v>
      </c>
      <c r="G246" s="11"/>
      <c r="H246" s="540"/>
      <c r="I246" s="11">
        <f t="shared" si="143"/>
        <v>0</v>
      </c>
      <c r="J246" s="11"/>
      <c r="K246" s="11">
        <f>H246*E246</f>
        <v>0</v>
      </c>
      <c r="L246" s="106" t="s">
        <v>15</v>
      </c>
      <c r="AL246" s="10"/>
    </row>
    <row r="247" spans="1:38" x14ac:dyDescent="0.25">
      <c r="A247" s="531">
        <v>231</v>
      </c>
      <c r="B247" s="241" t="s">
        <v>241</v>
      </c>
      <c r="C247" s="295" t="s">
        <v>30</v>
      </c>
      <c r="D247" s="243"/>
      <c r="E247" s="15">
        <f>Расч.!V78</f>
        <v>0.7</v>
      </c>
      <c r="F247" s="537">
        <f t="shared" ref="F247:F249" si="144">G247+H247</f>
        <v>0</v>
      </c>
      <c r="G247" s="538"/>
      <c r="H247" s="537"/>
      <c r="I247" s="537">
        <f t="shared" ref="I247:I249" si="145">J247+K247</f>
        <v>0</v>
      </c>
      <c r="J247" s="539">
        <f>G247*E247</f>
        <v>0</v>
      </c>
      <c r="K247" s="537"/>
      <c r="L247" s="244"/>
      <c r="AL247" s="10"/>
    </row>
    <row r="248" spans="1:38" x14ac:dyDescent="0.25">
      <c r="A248" s="257">
        <v>232</v>
      </c>
      <c r="B248" s="223" t="s">
        <v>31</v>
      </c>
      <c r="C248" s="224" t="s">
        <v>0</v>
      </c>
      <c r="D248" s="224">
        <v>5</v>
      </c>
      <c r="E248" s="248">
        <f>ROUND(E247*D248,0)</f>
        <v>4</v>
      </c>
      <c r="F248" s="11">
        <f t="shared" si="144"/>
        <v>0</v>
      </c>
      <c r="G248" s="11"/>
      <c r="H248" s="540"/>
      <c r="I248" s="11">
        <f t="shared" si="145"/>
        <v>0</v>
      </c>
      <c r="J248" s="11"/>
      <c r="K248" s="11">
        <f>H248*E248</f>
        <v>0</v>
      </c>
      <c r="L248" s="246" t="s">
        <v>15</v>
      </c>
      <c r="AL248" s="10"/>
    </row>
    <row r="249" spans="1:38" ht="47.25" x14ac:dyDescent="0.25">
      <c r="A249" s="256">
        <v>233</v>
      </c>
      <c r="B249" s="223" t="s">
        <v>242</v>
      </c>
      <c r="C249" s="245" t="s">
        <v>2</v>
      </c>
      <c r="D249" s="224">
        <v>1.1000000000000001</v>
      </c>
      <c r="E249" s="11">
        <f>E247*D249</f>
        <v>0.77</v>
      </c>
      <c r="F249" s="11">
        <f t="shared" si="144"/>
        <v>0</v>
      </c>
      <c r="G249" s="11"/>
      <c r="H249" s="540"/>
      <c r="I249" s="11">
        <f t="shared" si="145"/>
        <v>0</v>
      </c>
      <c r="J249" s="11"/>
      <c r="K249" s="11">
        <f>H249*E249</f>
        <v>0</v>
      </c>
      <c r="L249" s="225" t="s">
        <v>95</v>
      </c>
      <c r="AL249" s="10"/>
    </row>
    <row r="250" spans="1:38" x14ac:dyDescent="0.25">
      <c r="A250" s="532">
        <v>234</v>
      </c>
      <c r="B250" s="241" t="s">
        <v>64</v>
      </c>
      <c r="C250" s="295" t="s">
        <v>30</v>
      </c>
      <c r="D250" s="243"/>
      <c r="E250" s="15">
        <f>3.2+3.3</f>
        <v>6.5</v>
      </c>
      <c r="F250" s="537">
        <f t="shared" ref="F250:F254" si="146">G250+H250</f>
        <v>0</v>
      </c>
      <c r="G250" s="538"/>
      <c r="H250" s="537"/>
      <c r="I250" s="537">
        <f t="shared" ref="I250:I254" si="147">J250+K250</f>
        <v>0</v>
      </c>
      <c r="J250" s="539">
        <f>G250*E250</f>
        <v>0</v>
      </c>
      <c r="K250" s="537"/>
      <c r="L250" s="244"/>
      <c r="AL250" s="10"/>
    </row>
    <row r="251" spans="1:38" x14ac:dyDescent="0.25">
      <c r="A251" s="256">
        <v>235</v>
      </c>
      <c r="B251" s="223" t="s">
        <v>31</v>
      </c>
      <c r="C251" s="224" t="s">
        <v>0</v>
      </c>
      <c r="D251" s="224">
        <v>5</v>
      </c>
      <c r="E251" s="248">
        <f>ROUND(E250*D251,0)</f>
        <v>33</v>
      </c>
      <c r="F251" s="11">
        <f t="shared" si="146"/>
        <v>0</v>
      </c>
      <c r="G251" s="11"/>
      <c r="H251" s="540"/>
      <c r="I251" s="11">
        <f t="shared" si="147"/>
        <v>0</v>
      </c>
      <c r="J251" s="11"/>
      <c r="K251" s="11">
        <f>H251*E251</f>
        <v>0</v>
      </c>
      <c r="L251" s="246" t="s">
        <v>15</v>
      </c>
      <c r="AL251" s="10"/>
    </row>
    <row r="252" spans="1:38" ht="47.25" x14ac:dyDescent="0.25">
      <c r="A252" s="257">
        <v>236</v>
      </c>
      <c r="B252" s="223" t="s">
        <v>243</v>
      </c>
      <c r="C252" s="245" t="s">
        <v>2</v>
      </c>
      <c r="D252" s="224">
        <v>1.1000000000000001</v>
      </c>
      <c r="E252" s="11">
        <f>3.3*D252</f>
        <v>3.63</v>
      </c>
      <c r="F252" s="11">
        <f t="shared" si="146"/>
        <v>0</v>
      </c>
      <c r="G252" s="11"/>
      <c r="H252" s="540"/>
      <c r="I252" s="11">
        <f t="shared" si="147"/>
        <v>0</v>
      </c>
      <c r="J252" s="11"/>
      <c r="K252" s="11">
        <f>H252*E252</f>
        <v>0</v>
      </c>
      <c r="L252" s="225" t="s">
        <v>95</v>
      </c>
      <c r="AL252" s="10"/>
    </row>
    <row r="253" spans="1:38" ht="47.25" x14ac:dyDescent="0.25">
      <c r="A253" s="256">
        <v>237</v>
      </c>
      <c r="B253" s="223" t="s">
        <v>244</v>
      </c>
      <c r="C253" s="245" t="s">
        <v>2</v>
      </c>
      <c r="D253" s="247">
        <v>1.0149999999999999</v>
      </c>
      <c r="E253" s="11">
        <f>3.2*D253</f>
        <v>3.25</v>
      </c>
      <c r="F253" s="11">
        <f t="shared" si="146"/>
        <v>0</v>
      </c>
      <c r="G253" s="11"/>
      <c r="H253" s="540"/>
      <c r="I253" s="11">
        <f t="shared" si="147"/>
        <v>0</v>
      </c>
      <c r="J253" s="11"/>
      <c r="K253" s="11">
        <f>H253*E253</f>
        <v>0</v>
      </c>
      <c r="L253" s="303" t="s">
        <v>15</v>
      </c>
      <c r="AL253" s="10"/>
    </row>
    <row r="254" spans="1:38" x14ac:dyDescent="0.25">
      <c r="A254" s="257">
        <v>238</v>
      </c>
      <c r="B254" s="284" t="s">
        <v>34</v>
      </c>
      <c r="C254" s="245" t="s">
        <v>0</v>
      </c>
      <c r="D254" s="224">
        <v>1.66</v>
      </c>
      <c r="E254" s="304">
        <f>ROUND(E250*D254,0)</f>
        <v>11</v>
      </c>
      <c r="F254" s="11">
        <f t="shared" si="146"/>
        <v>0</v>
      </c>
      <c r="G254" s="11"/>
      <c r="H254" s="540"/>
      <c r="I254" s="11">
        <f t="shared" si="147"/>
        <v>0</v>
      </c>
      <c r="J254" s="11"/>
      <c r="K254" s="11">
        <f>H254*E254</f>
        <v>0</v>
      </c>
      <c r="L254" s="303" t="s">
        <v>15</v>
      </c>
      <c r="AL254" s="10"/>
    </row>
    <row r="255" spans="1:38" x14ac:dyDescent="0.25">
      <c r="A255" s="36"/>
      <c r="B255" s="3" t="s">
        <v>127</v>
      </c>
      <c r="C255" s="4"/>
      <c r="D255" s="27"/>
      <c r="E255" s="27"/>
      <c r="F255" s="27"/>
      <c r="G255" s="27"/>
      <c r="H255" s="27"/>
      <c r="I255" s="27"/>
      <c r="J255" s="27"/>
      <c r="K255" s="27"/>
      <c r="L255" s="28"/>
      <c r="N255" s="10"/>
    </row>
    <row r="256" spans="1:38" s="34" customFormat="1" x14ac:dyDescent="0.25">
      <c r="A256" s="17"/>
      <c r="B256" s="123" t="s">
        <v>56</v>
      </c>
      <c r="C256" s="18"/>
      <c r="D256" s="19"/>
      <c r="E256" s="19"/>
      <c r="F256" s="19"/>
      <c r="G256" s="19"/>
      <c r="H256" s="19"/>
      <c r="I256" s="19"/>
      <c r="J256" s="19"/>
      <c r="K256" s="19"/>
      <c r="L256" s="20"/>
    </row>
    <row r="257" spans="1:14" ht="31.5" x14ac:dyDescent="0.25">
      <c r="A257" s="528">
        <v>239</v>
      </c>
      <c r="B257" s="108" t="s">
        <v>217</v>
      </c>
      <c r="C257" s="121" t="s">
        <v>1</v>
      </c>
      <c r="D257" s="110"/>
      <c r="E257" s="111">
        <f>Расч.!E18+Расч.!E21*0.1</f>
        <v>588.32000000000005</v>
      </c>
      <c r="F257" s="537">
        <f t="shared" ref="F257:F258" si="148">G257+H257</f>
        <v>0</v>
      </c>
      <c r="G257" s="538"/>
      <c r="H257" s="537"/>
      <c r="I257" s="537">
        <f t="shared" ref="I257:I258" si="149">J257+K257</f>
        <v>0</v>
      </c>
      <c r="J257" s="539">
        <f>G257*E257</f>
        <v>0</v>
      </c>
      <c r="K257" s="537"/>
      <c r="L257" s="112"/>
      <c r="N257" s="10"/>
    </row>
    <row r="258" spans="1:14" x14ac:dyDescent="0.25">
      <c r="A258" s="35">
        <v>240</v>
      </c>
      <c r="B258" s="284" t="s">
        <v>218</v>
      </c>
      <c r="C258" s="104" t="s">
        <v>1</v>
      </c>
      <c r="D258" s="105">
        <v>1.1499999999999999</v>
      </c>
      <c r="E258" s="11">
        <f>E257*D258</f>
        <v>676.57</v>
      </c>
      <c r="F258" s="11">
        <f t="shared" si="148"/>
        <v>0</v>
      </c>
      <c r="G258" s="11"/>
      <c r="H258" s="540"/>
      <c r="I258" s="11">
        <f t="shared" si="149"/>
        <v>0</v>
      </c>
      <c r="J258" s="11"/>
      <c r="K258" s="11">
        <f>H258*E258</f>
        <v>0</v>
      </c>
      <c r="L258" s="114" t="s">
        <v>15</v>
      </c>
      <c r="N258" s="10"/>
    </row>
    <row r="259" spans="1:14" x14ac:dyDescent="0.25">
      <c r="A259" s="528">
        <v>241</v>
      </c>
      <c r="B259" s="108" t="s">
        <v>57</v>
      </c>
      <c r="C259" s="121" t="s">
        <v>1</v>
      </c>
      <c r="D259" s="110"/>
      <c r="E259" s="15">
        <f>Расч.!E18</f>
        <v>563.72</v>
      </c>
      <c r="F259" s="537">
        <f t="shared" ref="F259:F260" si="150">G259+H259</f>
        <v>0</v>
      </c>
      <c r="G259" s="538"/>
      <c r="H259" s="537"/>
      <c r="I259" s="537">
        <f t="shared" ref="I259:I260" si="151">J259+K259</f>
        <v>0</v>
      </c>
      <c r="J259" s="539">
        <f>G259*E259</f>
        <v>0</v>
      </c>
      <c r="K259" s="537"/>
      <c r="L259" s="112"/>
      <c r="N259" s="10"/>
    </row>
    <row r="260" spans="1:14" ht="31.5" x14ac:dyDescent="0.25">
      <c r="A260" s="35">
        <v>242</v>
      </c>
      <c r="B260" s="174" t="s">
        <v>234</v>
      </c>
      <c r="C260" s="104" t="s">
        <v>27</v>
      </c>
      <c r="D260" s="105">
        <v>1.1000000000000001</v>
      </c>
      <c r="E260" s="11">
        <f>E259*D260*0.1</f>
        <v>62.01</v>
      </c>
      <c r="F260" s="11">
        <f t="shared" si="150"/>
        <v>0</v>
      </c>
      <c r="G260" s="11"/>
      <c r="H260" s="540"/>
      <c r="I260" s="11">
        <f t="shared" si="151"/>
        <v>0</v>
      </c>
      <c r="J260" s="11"/>
      <c r="K260" s="11">
        <f>H260*E260</f>
        <v>0</v>
      </c>
      <c r="L260" s="106" t="s">
        <v>15</v>
      </c>
      <c r="N260" s="10"/>
    </row>
    <row r="261" spans="1:14" x14ac:dyDescent="0.25">
      <c r="A261" s="528">
        <v>243</v>
      </c>
      <c r="B261" s="108" t="s">
        <v>60</v>
      </c>
      <c r="C261" s="121" t="s">
        <v>1</v>
      </c>
      <c r="D261" s="110"/>
      <c r="E261" s="15">
        <f>Расч.!E18</f>
        <v>563.72</v>
      </c>
      <c r="F261" s="537">
        <f t="shared" ref="F261:F262" si="152">G261+H261</f>
        <v>0</v>
      </c>
      <c r="G261" s="538"/>
      <c r="H261" s="537"/>
      <c r="I261" s="537">
        <f t="shared" ref="I261:I262" si="153">J261+K261</f>
        <v>0</v>
      </c>
      <c r="J261" s="539">
        <f>G261*E261</f>
        <v>0</v>
      </c>
      <c r="K261" s="537"/>
      <c r="L261" s="112"/>
      <c r="N261" s="10"/>
    </row>
    <row r="262" spans="1:14" x14ac:dyDescent="0.25">
      <c r="A262" s="35">
        <v>244</v>
      </c>
      <c r="B262" s="174" t="s">
        <v>29</v>
      </c>
      <c r="C262" s="104" t="s">
        <v>1</v>
      </c>
      <c r="D262" s="105">
        <v>1.1499999999999999</v>
      </c>
      <c r="E262" s="11">
        <f>E261*D262</f>
        <v>648.28</v>
      </c>
      <c r="F262" s="11">
        <f t="shared" si="152"/>
        <v>0</v>
      </c>
      <c r="G262" s="11"/>
      <c r="H262" s="540"/>
      <c r="I262" s="11">
        <f t="shared" si="153"/>
        <v>0</v>
      </c>
      <c r="J262" s="11"/>
      <c r="K262" s="11">
        <f>H262*E262</f>
        <v>0</v>
      </c>
      <c r="L262" s="106" t="s">
        <v>15</v>
      </c>
      <c r="N262" s="10"/>
    </row>
    <row r="263" spans="1:14" x14ac:dyDescent="0.25">
      <c r="A263" s="528">
        <v>245</v>
      </c>
      <c r="B263" s="108" t="s">
        <v>85</v>
      </c>
      <c r="C263" s="121" t="s">
        <v>1</v>
      </c>
      <c r="D263" s="110"/>
      <c r="E263" s="15">
        <f>Расч.!J92*0.22</f>
        <v>25.47</v>
      </c>
      <c r="F263" s="537">
        <f t="shared" ref="F263:F264" si="154">G263+H263</f>
        <v>0</v>
      </c>
      <c r="G263" s="538"/>
      <c r="H263" s="537"/>
      <c r="I263" s="537">
        <f t="shared" ref="I263:I264" si="155">J263+K263</f>
        <v>0</v>
      </c>
      <c r="J263" s="539">
        <f>G263*E263</f>
        <v>0</v>
      </c>
      <c r="K263" s="537"/>
      <c r="L263" s="122"/>
      <c r="N263" s="10"/>
    </row>
    <row r="264" spans="1:14" ht="33" customHeight="1" x14ac:dyDescent="0.25">
      <c r="A264" s="35">
        <v>246</v>
      </c>
      <c r="B264" s="174" t="s">
        <v>248</v>
      </c>
      <c r="C264" s="104" t="s">
        <v>27</v>
      </c>
      <c r="D264" s="105">
        <v>1.1000000000000001</v>
      </c>
      <c r="E264" s="11">
        <f>E263*0.1*D264</f>
        <v>2.8</v>
      </c>
      <c r="F264" s="11">
        <f t="shared" si="154"/>
        <v>0</v>
      </c>
      <c r="G264" s="11"/>
      <c r="H264" s="540"/>
      <c r="I264" s="11">
        <f t="shared" si="155"/>
        <v>0</v>
      </c>
      <c r="J264" s="11"/>
      <c r="K264" s="11">
        <f>H264*E264</f>
        <v>0</v>
      </c>
      <c r="L264" s="106" t="s">
        <v>15</v>
      </c>
      <c r="N264" s="10"/>
    </row>
    <row r="265" spans="1:14" ht="47.25" x14ac:dyDescent="0.25">
      <c r="A265" s="528">
        <v>247</v>
      </c>
      <c r="B265" s="108" t="s">
        <v>82</v>
      </c>
      <c r="C265" s="121" t="s">
        <v>1</v>
      </c>
      <c r="D265" s="110"/>
      <c r="E265" s="15">
        <f>Расч.!I20</f>
        <v>552.15</v>
      </c>
      <c r="F265" s="537">
        <f t="shared" ref="F265:F267" si="156">G265+H265</f>
        <v>0</v>
      </c>
      <c r="G265" s="538"/>
      <c r="H265" s="537"/>
      <c r="I265" s="537">
        <f t="shared" ref="I265:I267" si="157">J265+K265</f>
        <v>0</v>
      </c>
      <c r="J265" s="539">
        <f>G265*E265</f>
        <v>0</v>
      </c>
      <c r="K265" s="537"/>
      <c r="L265" s="112"/>
      <c r="N265" s="10"/>
    </row>
    <row r="266" spans="1:14" x14ac:dyDescent="0.25">
      <c r="A266" s="35">
        <v>248</v>
      </c>
      <c r="B266" s="107" t="s">
        <v>26</v>
      </c>
      <c r="C266" s="104" t="s">
        <v>27</v>
      </c>
      <c r="D266" s="113">
        <v>1.0149999999999999</v>
      </c>
      <c r="E266" s="11">
        <f>Расч.!J21*D266</f>
        <v>91.53</v>
      </c>
      <c r="F266" s="11">
        <f t="shared" si="156"/>
        <v>0</v>
      </c>
      <c r="G266" s="11"/>
      <c r="H266" s="540"/>
      <c r="I266" s="11">
        <f t="shared" si="157"/>
        <v>0</v>
      </c>
      <c r="J266" s="11"/>
      <c r="K266" s="11">
        <f>H266*E266</f>
        <v>0</v>
      </c>
      <c r="L266" s="106" t="s">
        <v>15</v>
      </c>
      <c r="N266" s="10"/>
    </row>
    <row r="267" spans="1:14" x14ac:dyDescent="0.25">
      <c r="A267" s="35">
        <v>249</v>
      </c>
      <c r="B267" s="107" t="s">
        <v>37</v>
      </c>
      <c r="C267" s="104" t="s">
        <v>1</v>
      </c>
      <c r="D267" s="105">
        <v>1.2</v>
      </c>
      <c r="E267" s="11">
        <f>E265*D267</f>
        <v>662.58</v>
      </c>
      <c r="F267" s="11">
        <f t="shared" si="156"/>
        <v>0</v>
      </c>
      <c r="G267" s="11"/>
      <c r="H267" s="540"/>
      <c r="I267" s="11">
        <f t="shared" si="157"/>
        <v>0</v>
      </c>
      <c r="J267" s="11"/>
      <c r="K267" s="11">
        <f>H267*E267</f>
        <v>0</v>
      </c>
      <c r="L267" s="114" t="s">
        <v>15</v>
      </c>
      <c r="N267" s="10"/>
    </row>
    <row r="268" spans="1:14" ht="31.5" x14ac:dyDescent="0.25">
      <c r="A268" s="528">
        <v>250</v>
      </c>
      <c r="B268" s="49" t="s">
        <v>179</v>
      </c>
      <c r="C268" s="125" t="s">
        <v>30</v>
      </c>
      <c r="D268" s="133"/>
      <c r="E268" s="15">
        <f>Расч.!E21</f>
        <v>245.96</v>
      </c>
      <c r="F268" s="537">
        <f t="shared" ref="F268:F269" si="158">G268+H268</f>
        <v>0</v>
      </c>
      <c r="G268" s="538"/>
      <c r="H268" s="537"/>
      <c r="I268" s="537">
        <f t="shared" ref="I268:I269" si="159">J268+K268</f>
        <v>0</v>
      </c>
      <c r="J268" s="539">
        <f>G268*E268</f>
        <v>0</v>
      </c>
      <c r="K268" s="537"/>
      <c r="L268" s="112"/>
      <c r="N268" s="10"/>
    </row>
    <row r="269" spans="1:14" x14ac:dyDescent="0.25">
      <c r="A269" s="35">
        <v>251</v>
      </c>
      <c r="B269" s="138" t="s">
        <v>26</v>
      </c>
      <c r="C269" s="102" t="s">
        <v>27</v>
      </c>
      <c r="D269" s="137">
        <v>5.0000000000000001E-3</v>
      </c>
      <c r="E269" s="11">
        <f>D269*E268</f>
        <v>1.23</v>
      </c>
      <c r="F269" s="11">
        <f t="shared" si="158"/>
        <v>0</v>
      </c>
      <c r="G269" s="11"/>
      <c r="H269" s="540"/>
      <c r="I269" s="11">
        <f t="shared" si="159"/>
        <v>0</v>
      </c>
      <c r="J269" s="11"/>
      <c r="K269" s="11">
        <f>H269*E269</f>
        <v>0</v>
      </c>
      <c r="L269" s="106" t="s">
        <v>15</v>
      </c>
      <c r="N269" s="10"/>
    </row>
    <row r="270" spans="1:14" ht="47.25" x14ac:dyDescent="0.25">
      <c r="A270" s="528">
        <v>252</v>
      </c>
      <c r="B270" s="108" t="s">
        <v>83</v>
      </c>
      <c r="C270" s="121" t="s">
        <v>1</v>
      </c>
      <c r="D270" s="110"/>
      <c r="E270" s="15">
        <f>Расч.!E18+Расч.!E21*0.3</f>
        <v>637.51</v>
      </c>
      <c r="F270" s="537">
        <f t="shared" ref="F270:F271" si="160">G270+H270</f>
        <v>0</v>
      </c>
      <c r="G270" s="538"/>
      <c r="H270" s="537"/>
      <c r="I270" s="537">
        <f t="shared" ref="I270:I271" si="161">J270+K270</f>
        <v>0</v>
      </c>
      <c r="J270" s="539">
        <f>G270*E270</f>
        <v>0</v>
      </c>
      <c r="K270" s="537"/>
      <c r="L270" s="112"/>
      <c r="N270" s="10"/>
    </row>
    <row r="271" spans="1:14" ht="31.5" x14ac:dyDescent="0.25">
      <c r="A271" s="35">
        <v>253</v>
      </c>
      <c r="B271" s="107" t="s">
        <v>84</v>
      </c>
      <c r="C271" s="104" t="s">
        <v>25</v>
      </c>
      <c r="D271" s="105">
        <v>0.35</v>
      </c>
      <c r="E271" s="11">
        <f>E270*D271</f>
        <v>223.13</v>
      </c>
      <c r="F271" s="11">
        <f t="shared" si="160"/>
        <v>0</v>
      </c>
      <c r="G271" s="11"/>
      <c r="H271" s="540"/>
      <c r="I271" s="11">
        <f t="shared" si="161"/>
        <v>0</v>
      </c>
      <c r="J271" s="11"/>
      <c r="K271" s="11">
        <f>H271*E271</f>
        <v>0</v>
      </c>
      <c r="L271" s="114" t="s">
        <v>15</v>
      </c>
      <c r="N271" s="10"/>
    </row>
    <row r="272" spans="1:14" ht="31.5" x14ac:dyDescent="0.25">
      <c r="A272" s="528">
        <v>254</v>
      </c>
      <c r="B272" s="108" t="s">
        <v>58</v>
      </c>
      <c r="C272" s="109" t="s">
        <v>1</v>
      </c>
      <c r="D272" s="110"/>
      <c r="E272" s="15">
        <f>Расч.!E18</f>
        <v>563.72</v>
      </c>
      <c r="F272" s="537">
        <f t="shared" ref="F272:F275" si="162">G272+H272</f>
        <v>0</v>
      </c>
      <c r="G272" s="538"/>
      <c r="H272" s="537"/>
      <c r="I272" s="537">
        <f t="shared" ref="I272:I275" si="163">J272+K272</f>
        <v>0</v>
      </c>
      <c r="J272" s="539">
        <f>G272*E272</f>
        <v>0</v>
      </c>
      <c r="K272" s="537"/>
      <c r="L272" s="112"/>
      <c r="N272" s="10"/>
    </row>
    <row r="273" spans="1:14" x14ac:dyDescent="0.25">
      <c r="A273" s="35">
        <v>255</v>
      </c>
      <c r="B273" s="223" t="s">
        <v>68</v>
      </c>
      <c r="C273" s="245" t="s">
        <v>1</v>
      </c>
      <c r="D273" s="224">
        <v>1.1599999999999999</v>
      </c>
      <c r="E273" s="11">
        <f>E272*D273</f>
        <v>653.91999999999996</v>
      </c>
      <c r="F273" s="11">
        <f t="shared" si="162"/>
        <v>0</v>
      </c>
      <c r="G273" s="11"/>
      <c r="H273" s="540"/>
      <c r="I273" s="11">
        <f t="shared" si="163"/>
        <v>0</v>
      </c>
      <c r="J273" s="11"/>
      <c r="K273" s="11">
        <f>H273*E273</f>
        <v>0</v>
      </c>
      <c r="L273" s="114" t="s">
        <v>15</v>
      </c>
      <c r="N273" s="10"/>
    </row>
    <row r="274" spans="1:14" x14ac:dyDescent="0.25">
      <c r="A274" s="35">
        <v>256</v>
      </c>
      <c r="B274" s="223" t="s">
        <v>219</v>
      </c>
      <c r="C274" s="245" t="s">
        <v>1</v>
      </c>
      <c r="D274" s="224">
        <v>1.1399999999999999</v>
      </c>
      <c r="E274" s="11">
        <f>E272*D274</f>
        <v>642.64</v>
      </c>
      <c r="F274" s="11">
        <f t="shared" si="162"/>
        <v>0</v>
      </c>
      <c r="G274" s="11"/>
      <c r="H274" s="540"/>
      <c r="I274" s="11">
        <f t="shared" si="163"/>
        <v>0</v>
      </c>
      <c r="J274" s="11"/>
      <c r="K274" s="11">
        <f>H274*E274</f>
        <v>0</v>
      </c>
      <c r="L274" s="114" t="s">
        <v>15</v>
      </c>
      <c r="N274" s="10"/>
    </row>
    <row r="275" spans="1:14" x14ac:dyDescent="0.25">
      <c r="A275" s="35">
        <v>257</v>
      </c>
      <c r="B275" s="223" t="s">
        <v>28</v>
      </c>
      <c r="C275" s="285" t="s">
        <v>3</v>
      </c>
      <c r="D275" s="305">
        <v>0.6</v>
      </c>
      <c r="E275" s="11">
        <f>E272*D275</f>
        <v>338.23</v>
      </c>
      <c r="F275" s="11">
        <f t="shared" si="162"/>
        <v>0</v>
      </c>
      <c r="G275" s="11"/>
      <c r="H275" s="540"/>
      <c r="I275" s="11">
        <f t="shared" si="163"/>
        <v>0</v>
      </c>
      <c r="J275" s="11"/>
      <c r="K275" s="11">
        <f>H275*E275</f>
        <v>0</v>
      </c>
      <c r="L275" s="106" t="s">
        <v>15</v>
      </c>
      <c r="N275" s="10"/>
    </row>
    <row r="276" spans="1:14" ht="31.5" x14ac:dyDescent="0.25">
      <c r="A276" s="528">
        <v>258</v>
      </c>
      <c r="B276" s="108" t="s">
        <v>35</v>
      </c>
      <c r="C276" s="109" t="s">
        <v>30</v>
      </c>
      <c r="D276" s="110"/>
      <c r="E276" s="15">
        <f>E268</f>
        <v>245.96</v>
      </c>
      <c r="F276" s="537">
        <f t="shared" ref="F276:F283" si="164">G276+H276</f>
        <v>0</v>
      </c>
      <c r="G276" s="538"/>
      <c r="H276" s="537"/>
      <c r="I276" s="537">
        <f t="shared" ref="I276:I283" si="165">J276+K276</f>
        <v>0</v>
      </c>
      <c r="J276" s="539">
        <f>G276*E276</f>
        <v>0</v>
      </c>
      <c r="K276" s="537"/>
      <c r="L276" s="112"/>
      <c r="N276" s="10"/>
    </row>
    <row r="277" spans="1:14" x14ac:dyDescent="0.25">
      <c r="A277" s="35">
        <v>259</v>
      </c>
      <c r="B277" s="223" t="s">
        <v>68</v>
      </c>
      <c r="C277" s="245" t="s">
        <v>1</v>
      </c>
      <c r="D277" s="224">
        <v>1.1599999999999999</v>
      </c>
      <c r="E277" s="11">
        <f>E276*0.5*D277</f>
        <v>142.66</v>
      </c>
      <c r="F277" s="11">
        <f t="shared" si="164"/>
        <v>0</v>
      </c>
      <c r="G277" s="11"/>
      <c r="H277" s="540"/>
      <c r="I277" s="11">
        <f t="shared" si="165"/>
        <v>0</v>
      </c>
      <c r="J277" s="11"/>
      <c r="K277" s="11">
        <f>H277*E277</f>
        <v>0</v>
      </c>
      <c r="L277" s="106" t="s">
        <v>15</v>
      </c>
      <c r="N277" s="10"/>
    </row>
    <row r="278" spans="1:14" x14ac:dyDescent="0.25">
      <c r="A278" s="35">
        <v>260</v>
      </c>
      <c r="B278" s="223" t="s">
        <v>219</v>
      </c>
      <c r="C278" s="245" t="s">
        <v>1</v>
      </c>
      <c r="D278" s="224">
        <v>1.1399999999999999</v>
      </c>
      <c r="E278" s="11">
        <f>E276*0.4*D278</f>
        <v>112.16</v>
      </c>
      <c r="F278" s="11">
        <f t="shared" si="164"/>
        <v>0</v>
      </c>
      <c r="G278" s="11"/>
      <c r="H278" s="540"/>
      <c r="I278" s="11">
        <f t="shared" si="165"/>
        <v>0</v>
      </c>
      <c r="J278" s="11"/>
      <c r="K278" s="11">
        <f>H278*E278</f>
        <v>0</v>
      </c>
      <c r="L278" s="106" t="s">
        <v>15</v>
      </c>
      <c r="N278" s="10"/>
    </row>
    <row r="279" spans="1:14" x14ac:dyDescent="0.25">
      <c r="A279" s="35">
        <v>261</v>
      </c>
      <c r="B279" s="223" t="s">
        <v>86</v>
      </c>
      <c r="C279" s="245" t="s">
        <v>27</v>
      </c>
      <c r="D279" s="224">
        <v>1.1399999999999999</v>
      </c>
      <c r="E279" s="11">
        <f>E276*0.25*D279</f>
        <v>70.099999999999994</v>
      </c>
      <c r="F279" s="11">
        <f t="shared" si="164"/>
        <v>0</v>
      </c>
      <c r="G279" s="11"/>
      <c r="H279" s="540"/>
      <c r="I279" s="11">
        <f t="shared" si="165"/>
        <v>0</v>
      </c>
      <c r="J279" s="11"/>
      <c r="K279" s="11">
        <f>H279*E279</f>
        <v>0</v>
      </c>
      <c r="L279" s="106" t="s">
        <v>15</v>
      </c>
      <c r="N279" s="10"/>
    </row>
    <row r="280" spans="1:14" x14ac:dyDescent="0.25">
      <c r="A280" s="35">
        <v>262</v>
      </c>
      <c r="B280" s="107" t="s">
        <v>28</v>
      </c>
      <c r="C280" s="175" t="s">
        <v>3</v>
      </c>
      <c r="D280" s="105">
        <v>0.6</v>
      </c>
      <c r="E280" s="11">
        <f>E276*D280</f>
        <v>147.58000000000001</v>
      </c>
      <c r="F280" s="11">
        <f t="shared" si="164"/>
        <v>0</v>
      </c>
      <c r="G280" s="11"/>
      <c r="H280" s="540"/>
      <c r="I280" s="11">
        <f t="shared" si="165"/>
        <v>0</v>
      </c>
      <c r="J280" s="11"/>
      <c r="K280" s="11">
        <f>H280*E280</f>
        <v>0</v>
      </c>
      <c r="L280" s="106" t="s">
        <v>15</v>
      </c>
      <c r="N280" s="10"/>
    </row>
    <row r="281" spans="1:14" ht="31.5" x14ac:dyDescent="0.25">
      <c r="A281" s="35">
        <v>263</v>
      </c>
      <c r="B281" s="107" t="s">
        <v>43</v>
      </c>
      <c r="C281" s="176" t="s">
        <v>2</v>
      </c>
      <c r="D281" s="105">
        <v>1.03</v>
      </c>
      <c r="E281" s="11">
        <f>E276*D281</f>
        <v>253.34</v>
      </c>
      <c r="F281" s="11">
        <f t="shared" si="164"/>
        <v>0</v>
      </c>
      <c r="G281" s="11"/>
      <c r="H281" s="540"/>
      <c r="I281" s="11">
        <f t="shared" si="165"/>
        <v>0</v>
      </c>
      <c r="J281" s="11"/>
      <c r="K281" s="11">
        <f>H281*E281</f>
        <v>0</v>
      </c>
      <c r="L281" s="106" t="s">
        <v>15</v>
      </c>
      <c r="N281" s="10"/>
    </row>
    <row r="282" spans="1:14" x14ac:dyDescent="0.25">
      <c r="A282" s="35">
        <v>264</v>
      </c>
      <c r="B282" s="107" t="s">
        <v>31</v>
      </c>
      <c r="C282" s="177" t="s">
        <v>0</v>
      </c>
      <c r="D282" s="105">
        <v>5</v>
      </c>
      <c r="E282" s="11">
        <f>ROUND(E276*D282,0)</f>
        <v>1230</v>
      </c>
      <c r="F282" s="11">
        <f t="shared" si="164"/>
        <v>0</v>
      </c>
      <c r="G282" s="11"/>
      <c r="H282" s="540"/>
      <c r="I282" s="11">
        <f t="shared" si="165"/>
        <v>0</v>
      </c>
      <c r="J282" s="11"/>
      <c r="K282" s="11">
        <f>H282*E282</f>
        <v>0</v>
      </c>
      <c r="L282" s="106" t="s">
        <v>15</v>
      </c>
      <c r="N282" s="10"/>
    </row>
    <row r="283" spans="1:14" ht="31.5" x14ac:dyDescent="0.25">
      <c r="A283" s="35">
        <v>265</v>
      </c>
      <c r="B283" s="107" t="s">
        <v>69</v>
      </c>
      <c r="C283" s="178" t="s">
        <v>0</v>
      </c>
      <c r="D283" s="105">
        <v>0.15</v>
      </c>
      <c r="E283" s="11">
        <f>ROUND(E276*D283,0)</f>
        <v>37</v>
      </c>
      <c r="F283" s="11">
        <f t="shared" si="164"/>
        <v>0</v>
      </c>
      <c r="G283" s="11"/>
      <c r="H283" s="540"/>
      <c r="I283" s="11">
        <f t="shared" si="165"/>
        <v>0</v>
      </c>
      <c r="J283" s="11"/>
      <c r="K283" s="11">
        <f>H283*E283</f>
        <v>0</v>
      </c>
      <c r="L283" s="106" t="s">
        <v>15</v>
      </c>
      <c r="N283" s="10"/>
    </row>
    <row r="284" spans="1:14" x14ac:dyDescent="0.25">
      <c r="A284" s="528">
        <v>266</v>
      </c>
      <c r="B284" s="108" t="s">
        <v>32</v>
      </c>
      <c r="C284" s="109" t="s">
        <v>0</v>
      </c>
      <c r="D284" s="110"/>
      <c r="E284" s="15">
        <v>3</v>
      </c>
      <c r="F284" s="537">
        <f t="shared" ref="F284:F285" si="166">G284+H284</f>
        <v>0</v>
      </c>
      <c r="G284" s="538"/>
      <c r="H284" s="537"/>
      <c r="I284" s="537">
        <f t="shared" ref="I284:I285" si="167">J284+K284</f>
        <v>0</v>
      </c>
      <c r="J284" s="539">
        <f>G284*E284</f>
        <v>0</v>
      </c>
      <c r="K284" s="537"/>
      <c r="L284" s="112"/>
      <c r="N284" s="10"/>
    </row>
    <row r="285" spans="1:14" ht="63" x14ac:dyDescent="0.25">
      <c r="A285" s="35">
        <v>267</v>
      </c>
      <c r="B285" s="223" t="s">
        <v>220</v>
      </c>
      <c r="C285" s="104" t="s">
        <v>0</v>
      </c>
      <c r="D285" s="105">
        <v>1</v>
      </c>
      <c r="E285" s="11">
        <f>E284</f>
        <v>3</v>
      </c>
      <c r="F285" s="11">
        <f t="shared" si="166"/>
        <v>0</v>
      </c>
      <c r="G285" s="11"/>
      <c r="H285" s="540"/>
      <c r="I285" s="11">
        <f t="shared" si="167"/>
        <v>0</v>
      </c>
      <c r="J285" s="11"/>
      <c r="K285" s="11">
        <f>H285*E285</f>
        <v>0</v>
      </c>
      <c r="L285" s="106" t="s">
        <v>15</v>
      </c>
      <c r="N285" s="10"/>
    </row>
    <row r="286" spans="1:14" x14ac:dyDescent="0.25">
      <c r="A286" s="528">
        <v>268</v>
      </c>
      <c r="B286" s="108" t="s">
        <v>55</v>
      </c>
      <c r="C286" s="109" t="s">
        <v>0</v>
      </c>
      <c r="D286" s="110"/>
      <c r="E286" s="15">
        <f>1</f>
        <v>1</v>
      </c>
      <c r="F286" s="537">
        <f t="shared" ref="F286:F287" si="168">G286+H286</f>
        <v>0</v>
      </c>
      <c r="G286" s="538"/>
      <c r="H286" s="537"/>
      <c r="I286" s="537">
        <f t="shared" ref="I286:I287" si="169">J286+K286</f>
        <v>0</v>
      </c>
      <c r="J286" s="539">
        <f>G286*E286</f>
        <v>0</v>
      </c>
      <c r="K286" s="537"/>
      <c r="L286" s="112"/>
      <c r="N286" s="10"/>
    </row>
    <row r="287" spans="1:14" ht="31.5" x14ac:dyDescent="0.25">
      <c r="A287" s="35">
        <v>269</v>
      </c>
      <c r="B287" s="223" t="s">
        <v>235</v>
      </c>
      <c r="C287" s="104" t="s">
        <v>0</v>
      </c>
      <c r="D287" s="105">
        <v>1</v>
      </c>
      <c r="E287" s="11">
        <f>E286</f>
        <v>1</v>
      </c>
      <c r="F287" s="11">
        <f t="shared" si="168"/>
        <v>0</v>
      </c>
      <c r="G287" s="11"/>
      <c r="H287" s="540"/>
      <c r="I287" s="11">
        <f t="shared" si="169"/>
        <v>0</v>
      </c>
      <c r="J287" s="11"/>
      <c r="K287" s="11">
        <f>H287*E287</f>
        <v>0</v>
      </c>
      <c r="L287" s="106" t="s">
        <v>15</v>
      </c>
      <c r="N287" s="10"/>
    </row>
    <row r="288" spans="1:14" x14ac:dyDescent="0.25">
      <c r="A288" s="528">
        <v>270</v>
      </c>
      <c r="B288" s="108" t="s">
        <v>52</v>
      </c>
      <c r="C288" s="109" t="s">
        <v>0</v>
      </c>
      <c r="D288" s="110"/>
      <c r="E288" s="15">
        <v>4</v>
      </c>
      <c r="F288" s="537">
        <f t="shared" ref="F288:F289" si="170">G288+H288</f>
        <v>0</v>
      </c>
      <c r="G288" s="538"/>
      <c r="H288" s="537"/>
      <c r="I288" s="537">
        <f t="shared" ref="I288:I289" si="171">J288+K288</f>
        <v>0</v>
      </c>
      <c r="J288" s="539">
        <f>G288*E288</f>
        <v>0</v>
      </c>
      <c r="K288" s="537"/>
      <c r="L288" s="112"/>
      <c r="N288" s="10"/>
    </row>
    <row r="289" spans="1:14" x14ac:dyDescent="0.25">
      <c r="A289" s="35">
        <v>271</v>
      </c>
      <c r="B289" s="223" t="s">
        <v>236</v>
      </c>
      <c r="C289" s="104" t="s">
        <v>0</v>
      </c>
      <c r="D289" s="105">
        <v>1</v>
      </c>
      <c r="E289" s="11">
        <f>E288</f>
        <v>4</v>
      </c>
      <c r="F289" s="11">
        <f t="shared" si="170"/>
        <v>0</v>
      </c>
      <c r="G289" s="11"/>
      <c r="H289" s="540"/>
      <c r="I289" s="11">
        <f t="shared" si="171"/>
        <v>0</v>
      </c>
      <c r="J289" s="11"/>
      <c r="K289" s="11">
        <f>H289*E289</f>
        <v>0</v>
      </c>
      <c r="L289" s="106" t="s">
        <v>15</v>
      </c>
      <c r="N289" s="10"/>
    </row>
    <row r="290" spans="1:14" ht="31.5" x14ac:dyDescent="0.25">
      <c r="A290" s="528">
        <v>272</v>
      </c>
      <c r="B290" s="108" t="s">
        <v>62</v>
      </c>
      <c r="C290" s="109" t="s">
        <v>0</v>
      </c>
      <c r="D290" s="110"/>
      <c r="E290" s="15">
        <v>17</v>
      </c>
      <c r="F290" s="537">
        <f t="shared" ref="F290:F293" si="172">G290+H290</f>
        <v>0</v>
      </c>
      <c r="G290" s="538"/>
      <c r="H290" s="537"/>
      <c r="I290" s="537">
        <f t="shared" ref="I290:I293" si="173">J290+K290</f>
        <v>0</v>
      </c>
      <c r="J290" s="539">
        <f>G290*E290</f>
        <v>0</v>
      </c>
      <c r="K290" s="537"/>
      <c r="L290" s="112"/>
      <c r="N290" s="10"/>
    </row>
    <row r="291" spans="1:14" ht="31.5" x14ac:dyDescent="0.25">
      <c r="A291" s="35">
        <v>273</v>
      </c>
      <c r="B291" s="107" t="s">
        <v>69</v>
      </c>
      <c r="C291" s="104" t="s">
        <v>0</v>
      </c>
      <c r="D291" s="105">
        <v>0.15</v>
      </c>
      <c r="E291" s="11">
        <f>ROUND(D291*E290,0)</f>
        <v>3</v>
      </c>
      <c r="F291" s="11">
        <f t="shared" si="172"/>
        <v>0</v>
      </c>
      <c r="G291" s="11"/>
      <c r="H291" s="540"/>
      <c r="I291" s="11">
        <f t="shared" si="173"/>
        <v>0</v>
      </c>
      <c r="J291" s="11"/>
      <c r="K291" s="11">
        <f>H291*E291</f>
        <v>0</v>
      </c>
      <c r="L291" s="106" t="s">
        <v>15</v>
      </c>
      <c r="N291" s="10"/>
    </row>
    <row r="292" spans="1:14" ht="31.5" x14ac:dyDescent="0.25">
      <c r="A292" s="35">
        <v>274</v>
      </c>
      <c r="B292" s="107" t="s">
        <v>66</v>
      </c>
      <c r="C292" s="104" t="s">
        <v>0</v>
      </c>
      <c r="D292" s="105">
        <v>1</v>
      </c>
      <c r="E292" s="11">
        <f>E290*D292</f>
        <v>17</v>
      </c>
      <c r="F292" s="11">
        <f t="shared" si="172"/>
        <v>0</v>
      </c>
      <c r="G292" s="11"/>
      <c r="H292" s="540"/>
      <c r="I292" s="11">
        <f t="shared" si="173"/>
        <v>0</v>
      </c>
      <c r="J292" s="11"/>
      <c r="K292" s="11">
        <f>H292*E292</f>
        <v>0</v>
      </c>
      <c r="L292" s="106" t="s">
        <v>15</v>
      </c>
      <c r="N292" s="10"/>
    </row>
    <row r="293" spans="1:14" x14ac:dyDescent="0.25">
      <c r="A293" s="35">
        <v>275</v>
      </c>
      <c r="B293" s="107" t="s">
        <v>87</v>
      </c>
      <c r="C293" s="104" t="s">
        <v>0</v>
      </c>
      <c r="D293" s="105">
        <v>1</v>
      </c>
      <c r="E293" s="11">
        <f>E290*D293</f>
        <v>17</v>
      </c>
      <c r="F293" s="11">
        <f t="shared" si="172"/>
        <v>0</v>
      </c>
      <c r="G293" s="11"/>
      <c r="H293" s="540"/>
      <c r="I293" s="11">
        <f t="shared" si="173"/>
        <v>0</v>
      </c>
      <c r="J293" s="11"/>
      <c r="K293" s="11">
        <f>H293*E293</f>
        <v>0</v>
      </c>
      <c r="L293" s="106" t="s">
        <v>15</v>
      </c>
      <c r="N293" s="10"/>
    </row>
    <row r="294" spans="1:14" ht="31.5" x14ac:dyDescent="0.25">
      <c r="A294" s="528">
        <v>276</v>
      </c>
      <c r="B294" s="108" t="s">
        <v>88</v>
      </c>
      <c r="C294" s="109" t="s">
        <v>0</v>
      </c>
      <c r="D294" s="110"/>
      <c r="E294" s="15">
        <v>7</v>
      </c>
      <c r="F294" s="537">
        <f t="shared" ref="F294:F297" si="174">G294+H294</f>
        <v>0</v>
      </c>
      <c r="G294" s="538"/>
      <c r="H294" s="537"/>
      <c r="I294" s="537">
        <f t="shared" ref="I294:I297" si="175">J294+K294</f>
        <v>0</v>
      </c>
      <c r="J294" s="539">
        <f>G294*E294</f>
        <v>0</v>
      </c>
      <c r="K294" s="537"/>
      <c r="L294" s="112"/>
      <c r="N294" s="10"/>
    </row>
    <row r="295" spans="1:14" x14ac:dyDescent="0.25">
      <c r="A295" s="35">
        <v>277</v>
      </c>
      <c r="B295" s="107" t="s">
        <v>89</v>
      </c>
      <c r="C295" s="104" t="s">
        <v>0</v>
      </c>
      <c r="D295" s="105">
        <v>1</v>
      </c>
      <c r="E295" s="11">
        <f>E294*D295</f>
        <v>7</v>
      </c>
      <c r="F295" s="11">
        <f t="shared" si="174"/>
        <v>0</v>
      </c>
      <c r="G295" s="11"/>
      <c r="H295" s="540"/>
      <c r="I295" s="11">
        <f t="shared" si="175"/>
        <v>0</v>
      </c>
      <c r="J295" s="11"/>
      <c r="K295" s="11">
        <f>H295*E295</f>
        <v>0</v>
      </c>
      <c r="L295" s="106" t="s">
        <v>15</v>
      </c>
      <c r="N295" s="10"/>
    </row>
    <row r="296" spans="1:14" x14ac:dyDescent="0.25">
      <c r="A296" s="35">
        <v>278</v>
      </c>
      <c r="B296" s="107" t="s">
        <v>87</v>
      </c>
      <c r="C296" s="104" t="s">
        <v>0</v>
      </c>
      <c r="D296" s="105">
        <v>1</v>
      </c>
      <c r="E296" s="11">
        <f>E294*D296</f>
        <v>7</v>
      </c>
      <c r="F296" s="11">
        <f t="shared" si="174"/>
        <v>0</v>
      </c>
      <c r="G296" s="11"/>
      <c r="H296" s="540"/>
      <c r="I296" s="11">
        <f t="shared" si="175"/>
        <v>0</v>
      </c>
      <c r="J296" s="11"/>
      <c r="K296" s="11">
        <f>H296*E296</f>
        <v>0</v>
      </c>
      <c r="L296" s="106" t="s">
        <v>15</v>
      </c>
      <c r="N296" s="10"/>
    </row>
    <row r="297" spans="1:14" ht="31.5" x14ac:dyDescent="0.25">
      <c r="A297" s="35">
        <v>279</v>
      </c>
      <c r="B297" s="107" t="s">
        <v>90</v>
      </c>
      <c r="C297" s="104" t="s">
        <v>0</v>
      </c>
      <c r="D297" s="105">
        <v>0.15</v>
      </c>
      <c r="E297" s="11">
        <f>ROUNDUP(E294*D297,0)</f>
        <v>2</v>
      </c>
      <c r="F297" s="11">
        <f t="shared" si="174"/>
        <v>0</v>
      </c>
      <c r="G297" s="11"/>
      <c r="H297" s="540"/>
      <c r="I297" s="11">
        <f t="shared" si="175"/>
        <v>0</v>
      </c>
      <c r="J297" s="11"/>
      <c r="K297" s="11">
        <f>H297*E297</f>
        <v>0</v>
      </c>
      <c r="L297" s="106" t="s">
        <v>15</v>
      </c>
      <c r="N297" s="10"/>
    </row>
    <row r="298" spans="1:14" x14ac:dyDescent="0.25">
      <c r="A298" s="528">
        <v>280</v>
      </c>
      <c r="B298" s="108" t="s">
        <v>67</v>
      </c>
      <c r="C298" s="109" t="s">
        <v>0</v>
      </c>
      <c r="D298" s="110"/>
      <c r="E298" s="15">
        <v>1</v>
      </c>
      <c r="F298" s="537">
        <f t="shared" ref="F298:F301" si="176">G298+H298</f>
        <v>0</v>
      </c>
      <c r="G298" s="538"/>
      <c r="H298" s="537"/>
      <c r="I298" s="537">
        <f t="shared" ref="I298:I301" si="177">J298+K298</f>
        <v>0</v>
      </c>
      <c r="J298" s="539">
        <f>G298*E298</f>
        <v>0</v>
      </c>
      <c r="K298" s="537"/>
      <c r="L298" s="112"/>
      <c r="N298" s="10"/>
    </row>
    <row r="299" spans="1:14" x14ac:dyDescent="0.25">
      <c r="A299" s="35">
        <v>281</v>
      </c>
      <c r="B299" s="107" t="s">
        <v>121</v>
      </c>
      <c r="C299" s="104" t="s">
        <v>0</v>
      </c>
      <c r="D299" s="105">
        <v>1</v>
      </c>
      <c r="E299" s="11">
        <f>E298*D299</f>
        <v>1</v>
      </c>
      <c r="F299" s="11">
        <f t="shared" si="176"/>
        <v>0</v>
      </c>
      <c r="G299" s="11"/>
      <c r="H299" s="540"/>
      <c r="I299" s="11">
        <f t="shared" si="177"/>
        <v>0</v>
      </c>
      <c r="J299" s="11"/>
      <c r="K299" s="11">
        <f>H299*E299</f>
        <v>0</v>
      </c>
      <c r="L299" s="106" t="s">
        <v>15</v>
      </c>
      <c r="N299" s="10"/>
    </row>
    <row r="300" spans="1:14" x14ac:dyDescent="0.25">
      <c r="A300" s="35">
        <v>282</v>
      </c>
      <c r="B300" s="107" t="s">
        <v>122</v>
      </c>
      <c r="C300" s="104" t="s">
        <v>0</v>
      </c>
      <c r="D300" s="105">
        <v>1</v>
      </c>
      <c r="E300" s="11">
        <f>E298*D300</f>
        <v>1</v>
      </c>
      <c r="F300" s="11">
        <f t="shared" si="176"/>
        <v>0</v>
      </c>
      <c r="G300" s="11"/>
      <c r="H300" s="540"/>
      <c r="I300" s="11">
        <f t="shared" si="177"/>
        <v>0</v>
      </c>
      <c r="J300" s="11"/>
      <c r="K300" s="11">
        <f>H300*E300</f>
        <v>0</v>
      </c>
      <c r="L300" s="106" t="s">
        <v>15</v>
      </c>
      <c r="N300" s="10"/>
    </row>
    <row r="301" spans="1:14" x14ac:dyDescent="0.25">
      <c r="A301" s="35">
        <v>283</v>
      </c>
      <c r="B301" s="107" t="s">
        <v>33</v>
      </c>
      <c r="C301" s="104" t="s">
        <v>0</v>
      </c>
      <c r="D301" s="105">
        <v>3</v>
      </c>
      <c r="E301" s="11">
        <f>E298*D301</f>
        <v>3</v>
      </c>
      <c r="F301" s="11">
        <f t="shared" si="176"/>
        <v>0</v>
      </c>
      <c r="G301" s="11"/>
      <c r="H301" s="540"/>
      <c r="I301" s="11">
        <f t="shared" si="177"/>
        <v>0</v>
      </c>
      <c r="J301" s="11"/>
      <c r="K301" s="11">
        <f>H301*E301</f>
        <v>0</v>
      </c>
      <c r="L301" s="106" t="s">
        <v>15</v>
      </c>
      <c r="N301" s="10"/>
    </row>
    <row r="302" spans="1:14" x14ac:dyDescent="0.25">
      <c r="A302" s="528">
        <v>284</v>
      </c>
      <c r="B302" s="108" t="s">
        <v>59</v>
      </c>
      <c r="C302" s="109" t="s">
        <v>30</v>
      </c>
      <c r="D302" s="110"/>
      <c r="E302" s="15">
        <f>Расч.!P92</f>
        <v>88.6</v>
      </c>
      <c r="F302" s="537">
        <f t="shared" ref="F302:F305" si="178">G302+H302</f>
        <v>0</v>
      </c>
      <c r="G302" s="538"/>
      <c r="H302" s="537"/>
      <c r="I302" s="537">
        <f t="shared" ref="I302:I305" si="179">J302+K302</f>
        <v>0</v>
      </c>
      <c r="J302" s="539">
        <f>G302*E302</f>
        <v>0</v>
      </c>
      <c r="K302" s="537"/>
      <c r="L302" s="112"/>
      <c r="N302" s="10"/>
    </row>
    <row r="303" spans="1:14" x14ac:dyDescent="0.25">
      <c r="A303" s="35">
        <v>285</v>
      </c>
      <c r="B303" s="107" t="s">
        <v>31</v>
      </c>
      <c r="C303" s="105" t="s">
        <v>0</v>
      </c>
      <c r="D303" s="105">
        <v>5</v>
      </c>
      <c r="E303" s="77">
        <f>ROUND(E302*D303,0)</f>
        <v>443</v>
      </c>
      <c r="F303" s="11">
        <f t="shared" si="178"/>
        <v>0</v>
      </c>
      <c r="G303" s="11"/>
      <c r="H303" s="540"/>
      <c r="I303" s="11">
        <f t="shared" si="179"/>
        <v>0</v>
      </c>
      <c r="J303" s="11"/>
      <c r="K303" s="11">
        <f>H303*E303</f>
        <v>0</v>
      </c>
      <c r="L303" s="106" t="s">
        <v>15</v>
      </c>
      <c r="N303" s="10"/>
    </row>
    <row r="304" spans="1:14" ht="47.25" x14ac:dyDescent="0.25">
      <c r="A304" s="35">
        <v>286</v>
      </c>
      <c r="B304" s="107" t="s">
        <v>142</v>
      </c>
      <c r="C304" s="104" t="s">
        <v>30</v>
      </c>
      <c r="D304" s="105">
        <v>1.1000000000000001</v>
      </c>
      <c r="E304" s="11">
        <f>E302*D304</f>
        <v>97.46</v>
      </c>
      <c r="F304" s="11">
        <f t="shared" si="178"/>
        <v>0</v>
      </c>
      <c r="G304" s="11"/>
      <c r="H304" s="540"/>
      <c r="I304" s="11">
        <f t="shared" si="179"/>
        <v>0</v>
      </c>
      <c r="J304" s="11"/>
      <c r="K304" s="11">
        <f>H304*E304</f>
        <v>0</v>
      </c>
      <c r="L304" s="106" t="s">
        <v>15</v>
      </c>
      <c r="N304" s="10"/>
    </row>
    <row r="305" spans="1:14" x14ac:dyDescent="0.25">
      <c r="A305" s="35">
        <v>287</v>
      </c>
      <c r="B305" s="107" t="s">
        <v>34</v>
      </c>
      <c r="C305" s="104" t="s">
        <v>0</v>
      </c>
      <c r="D305" s="105">
        <v>1.66</v>
      </c>
      <c r="E305" s="11">
        <f>ROUND(E302*D305,0)</f>
        <v>147</v>
      </c>
      <c r="F305" s="11">
        <f t="shared" si="178"/>
        <v>0</v>
      </c>
      <c r="G305" s="11"/>
      <c r="H305" s="540"/>
      <c r="I305" s="11">
        <f t="shared" si="179"/>
        <v>0</v>
      </c>
      <c r="J305" s="11"/>
      <c r="K305" s="11">
        <f>H305*E305</f>
        <v>0</v>
      </c>
      <c r="L305" s="106" t="s">
        <v>15</v>
      </c>
      <c r="N305" s="10"/>
    </row>
    <row r="306" spans="1:14" x14ac:dyDescent="0.25">
      <c r="A306" s="528">
        <v>288</v>
      </c>
      <c r="B306" s="203" t="s">
        <v>65</v>
      </c>
      <c r="C306" s="209" t="s">
        <v>30</v>
      </c>
      <c r="D306" s="205"/>
      <c r="E306" s="15">
        <f>Расч.!P95</f>
        <v>1.5</v>
      </c>
      <c r="F306" s="537">
        <f t="shared" ref="F306:F308" si="180">G306+H306</f>
        <v>0</v>
      </c>
      <c r="G306" s="538"/>
      <c r="H306" s="537"/>
      <c r="I306" s="537">
        <f t="shared" ref="I306:I308" si="181">J306+K306</f>
        <v>0</v>
      </c>
      <c r="J306" s="539">
        <f>G306*E306</f>
        <v>0</v>
      </c>
      <c r="K306" s="537"/>
      <c r="L306" s="207"/>
      <c r="N306" s="10"/>
    </row>
    <row r="307" spans="1:14" ht="47.25" x14ac:dyDescent="0.25">
      <c r="A307" s="35">
        <v>289</v>
      </c>
      <c r="B307" s="223" t="s">
        <v>245</v>
      </c>
      <c r="C307" s="195" t="s">
        <v>30</v>
      </c>
      <c r="D307" s="196">
        <v>1.1000000000000001</v>
      </c>
      <c r="E307" s="11">
        <f>E306*D307</f>
        <v>1.65</v>
      </c>
      <c r="F307" s="11">
        <f t="shared" si="180"/>
        <v>0</v>
      </c>
      <c r="G307" s="11"/>
      <c r="H307" s="540"/>
      <c r="I307" s="11">
        <f t="shared" si="181"/>
        <v>0</v>
      </c>
      <c r="J307" s="11"/>
      <c r="K307" s="11">
        <f>H307*E307</f>
        <v>0</v>
      </c>
      <c r="L307" s="212" t="s">
        <v>144</v>
      </c>
      <c r="N307" s="10"/>
    </row>
    <row r="308" spans="1:14" x14ac:dyDescent="0.25">
      <c r="A308" s="35">
        <v>290</v>
      </c>
      <c r="B308" s="223" t="s">
        <v>31</v>
      </c>
      <c r="C308" s="224" t="s">
        <v>0</v>
      </c>
      <c r="D308" s="224">
        <v>5</v>
      </c>
      <c r="E308" s="11">
        <f>ROUND(D308*E306,0)</f>
        <v>8</v>
      </c>
      <c r="F308" s="11">
        <f t="shared" si="180"/>
        <v>0</v>
      </c>
      <c r="G308" s="11"/>
      <c r="H308" s="540"/>
      <c r="I308" s="11">
        <f t="shared" si="181"/>
        <v>0</v>
      </c>
      <c r="J308" s="11"/>
      <c r="K308" s="11">
        <f>H308*E308</f>
        <v>0</v>
      </c>
      <c r="L308" s="197" t="s">
        <v>15</v>
      </c>
      <c r="N308" s="10"/>
    </row>
    <row r="309" spans="1:14" x14ac:dyDescent="0.25">
      <c r="A309" s="528">
        <v>291</v>
      </c>
      <c r="B309" s="241" t="s">
        <v>64</v>
      </c>
      <c r="C309" s="295" t="s">
        <v>30</v>
      </c>
      <c r="D309" s="243"/>
      <c r="E309" s="15">
        <f>15.7+1.05</f>
        <v>16.75</v>
      </c>
      <c r="F309" s="537">
        <f t="shared" ref="F309:F313" si="182">G309+H309</f>
        <v>0</v>
      </c>
      <c r="G309" s="538"/>
      <c r="H309" s="537"/>
      <c r="I309" s="537">
        <f t="shared" ref="I309:I313" si="183">J309+K309</f>
        <v>0</v>
      </c>
      <c r="J309" s="539">
        <f>G309*E309</f>
        <v>0</v>
      </c>
      <c r="K309" s="537"/>
      <c r="L309" s="244"/>
      <c r="N309" s="10"/>
    </row>
    <row r="310" spans="1:14" ht="47.25" x14ac:dyDescent="0.25">
      <c r="A310" s="35">
        <v>292</v>
      </c>
      <c r="B310" s="223" t="s">
        <v>222</v>
      </c>
      <c r="C310" s="245" t="s">
        <v>2</v>
      </c>
      <c r="D310" s="224">
        <v>1.1000000000000001</v>
      </c>
      <c r="E310" s="11">
        <f>15.7*D310</f>
        <v>17.27</v>
      </c>
      <c r="F310" s="11">
        <f t="shared" si="182"/>
        <v>0</v>
      </c>
      <c r="G310" s="11"/>
      <c r="H310" s="540"/>
      <c r="I310" s="11">
        <f t="shared" si="183"/>
        <v>0</v>
      </c>
      <c r="J310" s="11"/>
      <c r="K310" s="11">
        <f>H310*E310</f>
        <v>0</v>
      </c>
      <c r="L310" s="225" t="s">
        <v>223</v>
      </c>
      <c r="N310" s="10"/>
    </row>
    <row r="311" spans="1:14" ht="47.25" x14ac:dyDescent="0.25">
      <c r="A311" s="35">
        <v>293</v>
      </c>
      <c r="B311" s="223" t="s">
        <v>237</v>
      </c>
      <c r="C311" s="245" t="s">
        <v>2</v>
      </c>
      <c r="D311" s="224">
        <v>1.1000000000000001</v>
      </c>
      <c r="E311" s="11">
        <f>1.05*D311</f>
        <v>1.1599999999999999</v>
      </c>
      <c r="F311" s="11">
        <f t="shared" si="182"/>
        <v>0</v>
      </c>
      <c r="G311" s="11"/>
      <c r="H311" s="540"/>
      <c r="I311" s="11">
        <f t="shared" si="183"/>
        <v>0</v>
      </c>
      <c r="J311" s="11"/>
      <c r="K311" s="11">
        <f>H311*E311</f>
        <v>0</v>
      </c>
      <c r="L311" s="225" t="s">
        <v>223</v>
      </c>
      <c r="N311" s="10"/>
    </row>
    <row r="312" spans="1:14" x14ac:dyDescent="0.25">
      <c r="A312" s="35">
        <v>294</v>
      </c>
      <c r="B312" s="223" t="s">
        <v>31</v>
      </c>
      <c r="C312" s="224" t="s">
        <v>0</v>
      </c>
      <c r="D312" s="224">
        <v>5</v>
      </c>
      <c r="E312" s="11">
        <f>ROUND(E309*D312,0)</f>
        <v>84</v>
      </c>
      <c r="F312" s="11">
        <f t="shared" si="182"/>
        <v>0</v>
      </c>
      <c r="G312" s="11"/>
      <c r="H312" s="540"/>
      <c r="I312" s="11">
        <f t="shared" si="183"/>
        <v>0</v>
      </c>
      <c r="J312" s="11"/>
      <c r="K312" s="11">
        <f>H312*E312</f>
        <v>0</v>
      </c>
      <c r="L312" s="246" t="s">
        <v>15</v>
      </c>
      <c r="N312" s="10"/>
    </row>
    <row r="313" spans="1:14" x14ac:dyDescent="0.25">
      <c r="A313" s="35">
        <v>295</v>
      </c>
      <c r="B313" s="223" t="s">
        <v>26</v>
      </c>
      <c r="C313" s="245" t="s">
        <v>27</v>
      </c>
      <c r="D313" s="247">
        <v>1.0149999999999999</v>
      </c>
      <c r="E313" s="11">
        <f>15.7*0.12*((0.03+0.01)/2)*D313</f>
        <v>0.04</v>
      </c>
      <c r="F313" s="11">
        <f t="shared" si="182"/>
        <v>0</v>
      </c>
      <c r="G313" s="11"/>
      <c r="H313" s="540"/>
      <c r="I313" s="11">
        <f t="shared" si="183"/>
        <v>0</v>
      </c>
      <c r="J313" s="11"/>
      <c r="K313" s="11">
        <f>H313*E313</f>
        <v>0</v>
      </c>
      <c r="L313" s="246" t="s">
        <v>15</v>
      </c>
      <c r="N313" s="10"/>
    </row>
    <row r="314" spans="1:14" ht="31.5" x14ac:dyDescent="0.25">
      <c r="A314" s="528">
        <v>296</v>
      </c>
      <c r="B314" s="179" t="s">
        <v>117</v>
      </c>
      <c r="C314" s="180" t="s">
        <v>30</v>
      </c>
      <c r="D314" s="181"/>
      <c r="E314" s="182">
        <f>Расч.!P93</f>
        <v>14.15</v>
      </c>
      <c r="F314" s="537">
        <f t="shared" ref="F314:F319" si="184">G314+H314</f>
        <v>0</v>
      </c>
      <c r="G314" s="538"/>
      <c r="H314" s="537"/>
      <c r="I314" s="537">
        <f t="shared" ref="I314:I319" si="185">J314+K314</f>
        <v>0</v>
      </c>
      <c r="J314" s="539">
        <f>G314*E314</f>
        <v>0</v>
      </c>
      <c r="K314" s="537"/>
      <c r="L314" s="183"/>
      <c r="N314" s="10"/>
    </row>
    <row r="315" spans="1:14" x14ac:dyDescent="0.25">
      <c r="A315" s="35">
        <v>297</v>
      </c>
      <c r="B315" s="184" t="s">
        <v>31</v>
      </c>
      <c r="C315" s="185" t="s">
        <v>0</v>
      </c>
      <c r="D315" s="186">
        <v>5</v>
      </c>
      <c r="E315" s="187">
        <f>ROUND(E314*D315,0)</f>
        <v>71</v>
      </c>
      <c r="F315" s="11">
        <f t="shared" si="184"/>
        <v>0</v>
      </c>
      <c r="G315" s="11"/>
      <c r="H315" s="540"/>
      <c r="I315" s="11">
        <f t="shared" si="185"/>
        <v>0</v>
      </c>
      <c r="J315" s="11"/>
      <c r="K315" s="11">
        <f>H315*E315</f>
        <v>0</v>
      </c>
      <c r="L315" s="246" t="s">
        <v>15</v>
      </c>
      <c r="N315" s="10"/>
    </row>
    <row r="316" spans="1:14" ht="47.25" x14ac:dyDescent="0.25">
      <c r="A316" s="35">
        <v>298</v>
      </c>
      <c r="B316" s="287" t="s">
        <v>221</v>
      </c>
      <c r="C316" s="188" t="s">
        <v>2</v>
      </c>
      <c r="D316" s="186">
        <v>1.1000000000000001</v>
      </c>
      <c r="E316" s="187">
        <f>ROUND(E314*D316,2)</f>
        <v>15.57</v>
      </c>
      <c r="F316" s="11">
        <f t="shared" si="184"/>
        <v>0</v>
      </c>
      <c r="G316" s="11"/>
      <c r="H316" s="540"/>
      <c r="I316" s="11">
        <f t="shared" si="185"/>
        <v>0</v>
      </c>
      <c r="J316" s="11"/>
      <c r="K316" s="11">
        <f>H316*E316</f>
        <v>0</v>
      </c>
      <c r="L316" s="246" t="s">
        <v>15</v>
      </c>
      <c r="N316" s="10"/>
    </row>
    <row r="317" spans="1:14" ht="31.5" x14ac:dyDescent="0.25">
      <c r="A317" s="35">
        <v>299</v>
      </c>
      <c r="B317" s="238" t="s">
        <v>180</v>
      </c>
      <c r="C317" s="188" t="s">
        <v>2</v>
      </c>
      <c r="D317" s="186">
        <v>1.1000000000000001</v>
      </c>
      <c r="E317" s="187">
        <f>ROUND(E314*D317,2)</f>
        <v>15.57</v>
      </c>
      <c r="F317" s="11">
        <f t="shared" si="184"/>
        <v>0</v>
      </c>
      <c r="G317" s="11"/>
      <c r="H317" s="540"/>
      <c r="I317" s="11">
        <f t="shared" si="185"/>
        <v>0</v>
      </c>
      <c r="J317" s="11"/>
      <c r="K317" s="11">
        <f>H317*E317</f>
        <v>0</v>
      </c>
      <c r="L317" s="246" t="s">
        <v>15</v>
      </c>
      <c r="N317" s="10"/>
    </row>
    <row r="318" spans="1:14" x14ac:dyDescent="0.25">
      <c r="A318" s="35">
        <v>300</v>
      </c>
      <c r="B318" s="184" t="s">
        <v>54</v>
      </c>
      <c r="C318" s="188" t="s">
        <v>27</v>
      </c>
      <c r="D318" s="249">
        <v>0.1</v>
      </c>
      <c r="E318" s="187">
        <f>E314*D318</f>
        <v>1.42</v>
      </c>
      <c r="F318" s="11">
        <f t="shared" si="184"/>
        <v>0</v>
      </c>
      <c r="G318" s="11"/>
      <c r="H318" s="540"/>
      <c r="I318" s="11">
        <f t="shared" si="185"/>
        <v>0</v>
      </c>
      <c r="J318" s="11"/>
      <c r="K318" s="11">
        <f>H318*E318</f>
        <v>0</v>
      </c>
      <c r="L318" s="246" t="s">
        <v>15</v>
      </c>
      <c r="N318" s="10"/>
    </row>
    <row r="319" spans="1:14" x14ac:dyDescent="0.25">
      <c r="A319" s="35">
        <v>301</v>
      </c>
      <c r="B319" s="174" t="s">
        <v>34</v>
      </c>
      <c r="C319" s="189" t="s">
        <v>0</v>
      </c>
      <c r="D319" s="105">
        <v>3.32</v>
      </c>
      <c r="E319" s="187">
        <f>ROUND(E314*D319,0)</f>
        <v>47</v>
      </c>
      <c r="F319" s="11">
        <f t="shared" si="184"/>
        <v>0</v>
      </c>
      <c r="G319" s="11"/>
      <c r="H319" s="540"/>
      <c r="I319" s="11">
        <f t="shared" si="185"/>
        <v>0</v>
      </c>
      <c r="J319" s="11"/>
      <c r="K319" s="11">
        <f>H319*E319</f>
        <v>0</v>
      </c>
      <c r="L319" s="246" t="s">
        <v>15</v>
      </c>
      <c r="N319" s="10"/>
    </row>
    <row r="320" spans="1:14" ht="31.5" x14ac:dyDescent="0.25">
      <c r="A320" s="528">
        <v>302</v>
      </c>
      <c r="B320" s="108" t="s">
        <v>196</v>
      </c>
      <c r="C320" s="109" t="s">
        <v>1</v>
      </c>
      <c r="D320" s="110"/>
      <c r="E320" s="30">
        <v>1</v>
      </c>
      <c r="F320" s="537">
        <f t="shared" ref="F320:F321" si="186">G320+H320</f>
        <v>0</v>
      </c>
      <c r="G320" s="538"/>
      <c r="H320" s="537"/>
      <c r="I320" s="537">
        <f t="shared" ref="I320:I321" si="187">J320+K320</f>
        <v>0</v>
      </c>
      <c r="J320" s="539">
        <f>G320*E320</f>
        <v>0</v>
      </c>
      <c r="K320" s="537"/>
      <c r="L320" s="112"/>
      <c r="N320" s="10"/>
    </row>
    <row r="321" spans="1:14" x14ac:dyDescent="0.25">
      <c r="A321" s="35">
        <v>303</v>
      </c>
      <c r="B321" s="107" t="s">
        <v>26</v>
      </c>
      <c r="C321" s="190" t="s">
        <v>27</v>
      </c>
      <c r="D321" s="250">
        <v>1.0149999999999999</v>
      </c>
      <c r="E321" s="39">
        <f>E320*0.1*D321</f>
        <v>0.1</v>
      </c>
      <c r="F321" s="11">
        <f t="shared" si="186"/>
        <v>0</v>
      </c>
      <c r="G321" s="11"/>
      <c r="H321" s="540"/>
      <c r="I321" s="11">
        <f t="shared" si="187"/>
        <v>0</v>
      </c>
      <c r="J321" s="11"/>
      <c r="K321" s="11">
        <f>H321*E321</f>
        <v>0</v>
      </c>
      <c r="L321" s="106" t="s">
        <v>15</v>
      </c>
      <c r="N321" s="10"/>
    </row>
    <row r="322" spans="1:14" ht="47.25" x14ac:dyDescent="0.25">
      <c r="A322" s="528">
        <v>304</v>
      </c>
      <c r="B322" s="191" t="s">
        <v>123</v>
      </c>
      <c r="C322" s="109" t="s">
        <v>0</v>
      </c>
      <c r="D322" s="192"/>
      <c r="E322" s="111">
        <v>1</v>
      </c>
      <c r="F322" s="537">
        <f t="shared" ref="F322:F328" si="188">G322+H322</f>
        <v>0</v>
      </c>
      <c r="G322" s="538"/>
      <c r="H322" s="537"/>
      <c r="I322" s="537">
        <f t="shared" ref="I322:I328" si="189">J322+K322</f>
        <v>0</v>
      </c>
      <c r="J322" s="539">
        <f>G322*E322</f>
        <v>0</v>
      </c>
      <c r="K322" s="537"/>
      <c r="L322" s="193"/>
      <c r="N322" s="10"/>
    </row>
    <row r="323" spans="1:14" x14ac:dyDescent="0.25">
      <c r="A323" s="35">
        <v>305</v>
      </c>
      <c r="B323" s="306" t="s">
        <v>239</v>
      </c>
      <c r="C323" s="245" t="s">
        <v>3</v>
      </c>
      <c r="D323" s="224">
        <v>1.03</v>
      </c>
      <c r="E323" s="38">
        <f>59.17*D323*E322</f>
        <v>60.95</v>
      </c>
      <c r="F323" s="11">
        <f t="shared" si="188"/>
        <v>0</v>
      </c>
      <c r="G323" s="11"/>
      <c r="H323" s="540"/>
      <c r="I323" s="11">
        <f t="shared" si="189"/>
        <v>0</v>
      </c>
      <c r="J323" s="11"/>
      <c r="K323" s="11">
        <f>H323*E323</f>
        <v>0</v>
      </c>
      <c r="L323" s="246" t="s">
        <v>15</v>
      </c>
      <c r="N323" s="10"/>
    </row>
    <row r="324" spans="1:14" x14ac:dyDescent="0.25">
      <c r="A324" s="35">
        <v>306</v>
      </c>
      <c r="B324" s="307" t="s">
        <v>124</v>
      </c>
      <c r="C324" s="308" t="s">
        <v>3</v>
      </c>
      <c r="D324" s="309">
        <v>1.03</v>
      </c>
      <c r="E324" s="310">
        <f>14.18*D324*E322</f>
        <v>14.61</v>
      </c>
      <c r="F324" s="11">
        <f t="shared" si="188"/>
        <v>0</v>
      </c>
      <c r="G324" s="11"/>
      <c r="H324" s="540"/>
      <c r="I324" s="11">
        <f t="shared" si="189"/>
        <v>0</v>
      </c>
      <c r="J324" s="11"/>
      <c r="K324" s="11">
        <f>H324*E324</f>
        <v>0</v>
      </c>
      <c r="L324" s="311" t="s">
        <v>15</v>
      </c>
      <c r="N324" s="10"/>
    </row>
    <row r="325" spans="1:14" x14ac:dyDescent="0.25">
      <c r="A325" s="35">
        <v>307</v>
      </c>
      <c r="B325" s="312" t="s">
        <v>125</v>
      </c>
      <c r="C325" s="313" t="s">
        <v>3</v>
      </c>
      <c r="D325" s="314">
        <v>1.03</v>
      </c>
      <c r="E325" s="315">
        <f>30.72*D325*E322</f>
        <v>31.64</v>
      </c>
      <c r="F325" s="11">
        <f t="shared" si="188"/>
        <v>0</v>
      </c>
      <c r="G325" s="11"/>
      <c r="H325" s="540"/>
      <c r="I325" s="11">
        <f t="shared" si="189"/>
        <v>0</v>
      </c>
      <c r="J325" s="11"/>
      <c r="K325" s="11">
        <f>H325*E325</f>
        <v>0</v>
      </c>
      <c r="L325" s="316" t="s">
        <v>15</v>
      </c>
      <c r="N325" s="10"/>
    </row>
    <row r="326" spans="1:14" x14ac:dyDescent="0.25">
      <c r="A326" s="35">
        <v>308</v>
      </c>
      <c r="B326" s="317" t="s">
        <v>126</v>
      </c>
      <c r="C326" s="318" t="s">
        <v>3</v>
      </c>
      <c r="D326" s="319">
        <v>1.03</v>
      </c>
      <c r="E326" s="320">
        <f>65.5*D326</f>
        <v>67.47</v>
      </c>
      <c r="F326" s="11">
        <f t="shared" si="188"/>
        <v>0</v>
      </c>
      <c r="G326" s="11"/>
      <c r="H326" s="540"/>
      <c r="I326" s="11">
        <f t="shared" si="189"/>
        <v>0</v>
      </c>
      <c r="J326" s="11"/>
      <c r="K326" s="11">
        <f>H326*E326</f>
        <v>0</v>
      </c>
      <c r="L326" s="321" t="s">
        <v>15</v>
      </c>
      <c r="N326" s="10"/>
    </row>
    <row r="327" spans="1:14" x14ac:dyDescent="0.25">
      <c r="A327" s="35">
        <v>309</v>
      </c>
      <c r="B327" s="322" t="s">
        <v>70</v>
      </c>
      <c r="C327" s="323" t="s">
        <v>3</v>
      </c>
      <c r="D327" s="324">
        <v>0.24</v>
      </c>
      <c r="E327" s="325">
        <f>4.19*D327*E322</f>
        <v>1.01</v>
      </c>
      <c r="F327" s="11">
        <f t="shared" si="188"/>
        <v>0</v>
      </c>
      <c r="G327" s="11"/>
      <c r="H327" s="540"/>
      <c r="I327" s="11">
        <f t="shared" si="189"/>
        <v>0</v>
      </c>
      <c r="J327" s="11"/>
      <c r="K327" s="11">
        <f>H327*E327</f>
        <v>0</v>
      </c>
      <c r="L327" s="326" t="s">
        <v>15</v>
      </c>
      <c r="N327" s="10"/>
    </row>
    <row r="328" spans="1:14" x14ac:dyDescent="0.25">
      <c r="A328" s="35">
        <v>310</v>
      </c>
      <c r="B328" s="327" t="s">
        <v>71</v>
      </c>
      <c r="C328" s="328" t="s">
        <v>3</v>
      </c>
      <c r="D328" s="329">
        <v>0.3</v>
      </c>
      <c r="E328" s="330">
        <f>4.19*D328*E322</f>
        <v>1.26</v>
      </c>
      <c r="F328" s="11">
        <f t="shared" si="188"/>
        <v>0</v>
      </c>
      <c r="G328" s="11"/>
      <c r="H328" s="540"/>
      <c r="I328" s="11">
        <f t="shared" si="189"/>
        <v>0</v>
      </c>
      <c r="J328" s="11"/>
      <c r="K328" s="11">
        <f>H328*E328</f>
        <v>0</v>
      </c>
      <c r="L328" s="331" t="s">
        <v>15</v>
      </c>
      <c r="N328" s="10"/>
    </row>
    <row r="329" spans="1:14" x14ac:dyDescent="0.25">
      <c r="A329" s="344"/>
      <c r="B329" s="333" t="s">
        <v>63</v>
      </c>
      <c r="C329" s="334"/>
      <c r="D329" s="335"/>
      <c r="E329" s="335"/>
      <c r="F329" s="335"/>
      <c r="G329" s="335"/>
      <c r="H329" s="335"/>
      <c r="I329" s="335"/>
      <c r="J329" s="335"/>
      <c r="K329" s="335"/>
      <c r="L329" s="336"/>
      <c r="N329" s="10"/>
    </row>
    <row r="330" spans="1:14" ht="63" x14ac:dyDescent="0.25">
      <c r="A330" s="533">
        <v>311</v>
      </c>
      <c r="B330" s="337" t="s">
        <v>224</v>
      </c>
      <c r="C330" s="338" t="s">
        <v>0</v>
      </c>
      <c r="D330" s="339"/>
      <c r="E330" s="15">
        <v>4</v>
      </c>
      <c r="F330" s="537">
        <f t="shared" ref="F330:F331" si="190">G330+H330</f>
        <v>0</v>
      </c>
      <c r="G330" s="538"/>
      <c r="H330" s="537"/>
      <c r="I330" s="537">
        <f t="shared" ref="I330:I331" si="191">J330+K330</f>
        <v>0</v>
      </c>
      <c r="J330" s="539">
        <f>G330*E330</f>
        <v>0</v>
      </c>
      <c r="K330" s="537"/>
      <c r="L330" s="340"/>
      <c r="N330" s="10"/>
    </row>
    <row r="331" spans="1:14" x14ac:dyDescent="0.25">
      <c r="A331" s="332">
        <v>312</v>
      </c>
      <c r="B331" s="341" t="s">
        <v>225</v>
      </c>
      <c r="C331" s="342" t="s">
        <v>0</v>
      </c>
      <c r="D331" s="329">
        <v>1</v>
      </c>
      <c r="E331" s="297">
        <f>E330*D331</f>
        <v>4</v>
      </c>
      <c r="F331" s="11">
        <f t="shared" si="190"/>
        <v>0</v>
      </c>
      <c r="G331" s="11"/>
      <c r="H331" s="540"/>
      <c r="I331" s="11">
        <f t="shared" si="191"/>
        <v>0</v>
      </c>
      <c r="J331" s="11"/>
      <c r="K331" s="11">
        <f>H331*E331</f>
        <v>0</v>
      </c>
      <c r="L331" s="343" t="s">
        <v>226</v>
      </c>
      <c r="N331" s="10"/>
    </row>
    <row r="332" spans="1:14" ht="63" x14ac:dyDescent="0.25">
      <c r="A332" s="533">
        <v>313</v>
      </c>
      <c r="B332" s="337" t="s">
        <v>224</v>
      </c>
      <c r="C332" s="338" t="s">
        <v>0</v>
      </c>
      <c r="D332" s="339"/>
      <c r="E332" s="15">
        <v>7</v>
      </c>
      <c r="F332" s="537">
        <f t="shared" ref="F332:F333" si="192">G332+H332</f>
        <v>0</v>
      </c>
      <c r="G332" s="538"/>
      <c r="H332" s="537"/>
      <c r="I332" s="537">
        <f t="shared" ref="I332:I333" si="193">J332+K332</f>
        <v>0</v>
      </c>
      <c r="J332" s="539">
        <f>G332*E332</f>
        <v>0</v>
      </c>
      <c r="K332" s="537"/>
      <c r="L332" s="340"/>
      <c r="N332" s="10"/>
    </row>
    <row r="333" spans="1:14" x14ac:dyDescent="0.25">
      <c r="A333" s="332">
        <v>314</v>
      </c>
      <c r="B333" s="341" t="s">
        <v>227</v>
      </c>
      <c r="C333" s="342" t="s">
        <v>0</v>
      </c>
      <c r="D333" s="329">
        <v>1</v>
      </c>
      <c r="E333" s="297">
        <f>E332*D333</f>
        <v>7</v>
      </c>
      <c r="F333" s="11">
        <f t="shared" si="192"/>
        <v>0</v>
      </c>
      <c r="G333" s="11"/>
      <c r="H333" s="540"/>
      <c r="I333" s="11">
        <f t="shared" si="193"/>
        <v>0</v>
      </c>
      <c r="J333" s="11"/>
      <c r="K333" s="11">
        <f>H333*E333</f>
        <v>0</v>
      </c>
      <c r="L333" s="343" t="s">
        <v>226</v>
      </c>
      <c r="N333" s="10"/>
    </row>
    <row r="334" spans="1:14" ht="63" x14ac:dyDescent="0.25">
      <c r="A334" s="533">
        <v>315</v>
      </c>
      <c r="B334" s="337" t="s">
        <v>224</v>
      </c>
      <c r="C334" s="338" t="s">
        <v>0</v>
      </c>
      <c r="D334" s="339"/>
      <c r="E334" s="15">
        <v>3</v>
      </c>
      <c r="F334" s="537">
        <f t="shared" ref="F334:F335" si="194">G334+H334</f>
        <v>0</v>
      </c>
      <c r="G334" s="538"/>
      <c r="H334" s="537"/>
      <c r="I334" s="537">
        <f t="shared" ref="I334:I335" si="195">J334+K334</f>
        <v>0</v>
      </c>
      <c r="J334" s="539">
        <f>G334*E334</f>
        <v>0</v>
      </c>
      <c r="K334" s="537"/>
      <c r="L334" s="340"/>
      <c r="N334" s="10"/>
    </row>
    <row r="335" spans="1:14" x14ac:dyDescent="0.25">
      <c r="A335" s="332">
        <v>316</v>
      </c>
      <c r="B335" s="341" t="s">
        <v>228</v>
      </c>
      <c r="C335" s="342" t="s">
        <v>0</v>
      </c>
      <c r="D335" s="329">
        <v>1</v>
      </c>
      <c r="E335" s="297">
        <f>E334*D335</f>
        <v>3</v>
      </c>
      <c r="F335" s="11">
        <f t="shared" si="194"/>
        <v>0</v>
      </c>
      <c r="G335" s="11"/>
      <c r="H335" s="540"/>
      <c r="I335" s="11">
        <f t="shared" si="195"/>
        <v>0</v>
      </c>
      <c r="J335" s="11"/>
      <c r="K335" s="11">
        <f>H335*E335</f>
        <v>0</v>
      </c>
      <c r="L335" s="343" t="s">
        <v>226</v>
      </c>
      <c r="N335" s="10"/>
    </row>
    <row r="336" spans="1:14" ht="63" x14ac:dyDescent="0.25">
      <c r="A336" s="533">
        <v>317</v>
      </c>
      <c r="B336" s="337" t="s">
        <v>229</v>
      </c>
      <c r="C336" s="338" t="s">
        <v>0</v>
      </c>
      <c r="D336" s="339"/>
      <c r="E336" s="15">
        <v>3</v>
      </c>
      <c r="F336" s="537">
        <f t="shared" ref="F336:F337" si="196">G336+H336</f>
        <v>0</v>
      </c>
      <c r="G336" s="538"/>
      <c r="H336" s="537"/>
      <c r="I336" s="537">
        <f t="shared" ref="I336:I337" si="197">J336+K336</f>
        <v>0</v>
      </c>
      <c r="J336" s="539">
        <f>G336*E336</f>
        <v>0</v>
      </c>
      <c r="K336" s="537"/>
      <c r="L336" s="340"/>
      <c r="N336" s="10"/>
    </row>
    <row r="337" spans="1:14" x14ac:dyDescent="0.25">
      <c r="A337" s="332">
        <v>318</v>
      </c>
      <c r="B337" s="341" t="s">
        <v>230</v>
      </c>
      <c r="C337" s="342" t="s">
        <v>0</v>
      </c>
      <c r="D337" s="329">
        <v>1</v>
      </c>
      <c r="E337" s="297">
        <f>E336*D337</f>
        <v>3</v>
      </c>
      <c r="F337" s="11">
        <f t="shared" si="196"/>
        <v>0</v>
      </c>
      <c r="G337" s="11"/>
      <c r="H337" s="540"/>
      <c r="I337" s="11">
        <f t="shared" si="197"/>
        <v>0</v>
      </c>
      <c r="J337" s="11"/>
      <c r="K337" s="11">
        <f>H337*E337</f>
        <v>0</v>
      </c>
      <c r="L337" s="343" t="s">
        <v>226</v>
      </c>
      <c r="N337" s="10"/>
    </row>
    <row r="338" spans="1:14" x14ac:dyDescent="0.25">
      <c r="A338" s="251"/>
      <c r="B338" s="199" t="s">
        <v>231</v>
      </c>
      <c r="C338" s="200"/>
      <c r="D338" s="201"/>
      <c r="E338" s="201"/>
      <c r="F338" s="201"/>
      <c r="G338" s="201"/>
      <c r="H338" s="201"/>
      <c r="I338" s="201"/>
      <c r="J338" s="201"/>
      <c r="K338" s="201"/>
      <c r="L338" s="202"/>
      <c r="N338" s="10"/>
    </row>
    <row r="339" spans="1:14" x14ac:dyDescent="0.25">
      <c r="A339" s="534">
        <v>319</v>
      </c>
      <c r="B339" s="203" t="s">
        <v>136</v>
      </c>
      <c r="C339" s="204" t="s">
        <v>1</v>
      </c>
      <c r="D339" s="205"/>
      <c r="E339" s="206">
        <f>Расч.!O18</f>
        <v>10.15</v>
      </c>
      <c r="F339" s="537">
        <f t="shared" ref="F339:F340" si="198">G339+H339</f>
        <v>0</v>
      </c>
      <c r="G339" s="538"/>
      <c r="H339" s="537"/>
      <c r="I339" s="537">
        <f t="shared" ref="I339:I340" si="199">J339+K339</f>
        <v>0</v>
      </c>
      <c r="J339" s="539">
        <f>G339*E339</f>
        <v>0</v>
      </c>
      <c r="K339" s="537"/>
      <c r="L339" s="207"/>
      <c r="N339" s="10"/>
    </row>
    <row r="340" spans="1:14" x14ac:dyDescent="0.25">
      <c r="A340" s="198">
        <v>320</v>
      </c>
      <c r="B340" s="345" t="s">
        <v>218</v>
      </c>
      <c r="C340" s="195" t="s">
        <v>1</v>
      </c>
      <c r="D340" s="196">
        <v>1.1499999999999999</v>
      </c>
      <c r="E340" s="11">
        <f>E339*D340</f>
        <v>11.67</v>
      </c>
      <c r="F340" s="11">
        <f t="shared" si="198"/>
        <v>0</v>
      </c>
      <c r="G340" s="11"/>
      <c r="H340" s="540"/>
      <c r="I340" s="11">
        <f t="shared" si="199"/>
        <v>0</v>
      </c>
      <c r="J340" s="11"/>
      <c r="K340" s="11">
        <f>H340*E340</f>
        <v>0</v>
      </c>
      <c r="L340" s="197" t="s">
        <v>15</v>
      </c>
      <c r="N340" s="10"/>
    </row>
    <row r="341" spans="1:14" x14ac:dyDescent="0.25">
      <c r="A341" s="534">
        <v>321</v>
      </c>
      <c r="B341" s="203" t="s">
        <v>57</v>
      </c>
      <c r="C341" s="209" t="s">
        <v>1</v>
      </c>
      <c r="D341" s="205"/>
      <c r="E341" s="15">
        <f>Расч.!O18</f>
        <v>10.15</v>
      </c>
      <c r="F341" s="537">
        <f t="shared" ref="F341:F342" si="200">G341+H341</f>
        <v>0</v>
      </c>
      <c r="G341" s="538"/>
      <c r="H341" s="537"/>
      <c r="I341" s="537">
        <f t="shared" ref="I341:I342" si="201">J341+K341</f>
        <v>0</v>
      </c>
      <c r="J341" s="539">
        <f>G341*E341</f>
        <v>0</v>
      </c>
      <c r="K341" s="537"/>
      <c r="L341" s="207"/>
      <c r="N341" s="10"/>
    </row>
    <row r="342" spans="1:14" ht="31.5" x14ac:dyDescent="0.25">
      <c r="A342" s="198">
        <v>322</v>
      </c>
      <c r="B342" s="208" t="s">
        <v>234</v>
      </c>
      <c r="C342" s="195" t="s">
        <v>27</v>
      </c>
      <c r="D342" s="196">
        <v>1.1000000000000001</v>
      </c>
      <c r="E342" s="11">
        <f>E341*D342*0.1</f>
        <v>1.1200000000000001</v>
      </c>
      <c r="F342" s="11">
        <f t="shared" si="200"/>
        <v>0</v>
      </c>
      <c r="G342" s="11"/>
      <c r="H342" s="540"/>
      <c r="I342" s="11">
        <f t="shared" si="201"/>
        <v>0</v>
      </c>
      <c r="J342" s="11"/>
      <c r="K342" s="11">
        <f>H342*E342</f>
        <v>0</v>
      </c>
      <c r="L342" s="197" t="s">
        <v>15</v>
      </c>
      <c r="N342" s="10"/>
    </row>
    <row r="343" spans="1:14" x14ac:dyDescent="0.25">
      <c r="A343" s="534">
        <v>323</v>
      </c>
      <c r="B343" s="203" t="s">
        <v>60</v>
      </c>
      <c r="C343" s="209" t="s">
        <v>1</v>
      </c>
      <c r="D343" s="205"/>
      <c r="E343" s="15">
        <f>Расч.!O18</f>
        <v>10.15</v>
      </c>
      <c r="F343" s="537">
        <f t="shared" ref="F343:F344" si="202">G343+H343</f>
        <v>0</v>
      </c>
      <c r="G343" s="538"/>
      <c r="H343" s="537"/>
      <c r="I343" s="537">
        <f t="shared" ref="I343:I344" si="203">J343+K343</f>
        <v>0</v>
      </c>
      <c r="J343" s="539">
        <f>G343*E343</f>
        <v>0</v>
      </c>
      <c r="K343" s="537"/>
      <c r="L343" s="207"/>
      <c r="N343" s="10"/>
    </row>
    <row r="344" spans="1:14" x14ac:dyDescent="0.25">
      <c r="A344" s="198">
        <v>324</v>
      </c>
      <c r="B344" s="208" t="s">
        <v>29</v>
      </c>
      <c r="C344" s="195" t="s">
        <v>1</v>
      </c>
      <c r="D344" s="196">
        <v>1.1499999999999999</v>
      </c>
      <c r="E344" s="11">
        <f>E343*D344</f>
        <v>11.67</v>
      </c>
      <c r="F344" s="11">
        <f t="shared" si="202"/>
        <v>0</v>
      </c>
      <c r="G344" s="11"/>
      <c r="H344" s="540"/>
      <c r="I344" s="11">
        <f t="shared" si="203"/>
        <v>0</v>
      </c>
      <c r="J344" s="11"/>
      <c r="K344" s="11">
        <f>H344*E344</f>
        <v>0</v>
      </c>
      <c r="L344" s="197" t="s">
        <v>15</v>
      </c>
      <c r="N344" s="10"/>
    </row>
    <row r="345" spans="1:14" ht="47.25" x14ac:dyDescent="0.25">
      <c r="A345" s="534">
        <v>325</v>
      </c>
      <c r="B345" s="203" t="s">
        <v>94</v>
      </c>
      <c r="C345" s="209" t="s">
        <v>1</v>
      </c>
      <c r="D345" s="205"/>
      <c r="E345" s="15">
        <f>Расч.!O18</f>
        <v>10.15</v>
      </c>
      <c r="F345" s="537">
        <f t="shared" ref="F345:F347" si="204">G345+H345</f>
        <v>0</v>
      </c>
      <c r="G345" s="538"/>
      <c r="H345" s="537"/>
      <c r="I345" s="537">
        <f t="shared" ref="I345:I347" si="205">J345+K345</f>
        <v>0</v>
      </c>
      <c r="J345" s="539">
        <f>G345*E345</f>
        <v>0</v>
      </c>
      <c r="K345" s="537"/>
      <c r="L345" s="207"/>
      <c r="N345" s="10"/>
    </row>
    <row r="346" spans="1:14" x14ac:dyDescent="0.25">
      <c r="A346" s="198">
        <v>326</v>
      </c>
      <c r="B346" s="210" t="s">
        <v>26</v>
      </c>
      <c r="C346" s="195" t="s">
        <v>27</v>
      </c>
      <c r="D346" s="211">
        <v>1.0149999999999999</v>
      </c>
      <c r="E346" s="11">
        <f>Расч.!T21*D346</f>
        <v>0.65</v>
      </c>
      <c r="F346" s="11">
        <f t="shared" si="204"/>
        <v>0</v>
      </c>
      <c r="G346" s="11"/>
      <c r="H346" s="540"/>
      <c r="I346" s="11">
        <f t="shared" si="205"/>
        <v>0</v>
      </c>
      <c r="J346" s="11"/>
      <c r="K346" s="11">
        <f>H346*E346</f>
        <v>0</v>
      </c>
      <c r="L346" s="197" t="s">
        <v>15</v>
      </c>
      <c r="N346" s="10"/>
    </row>
    <row r="347" spans="1:14" x14ac:dyDescent="0.25">
      <c r="A347" s="198">
        <v>327</v>
      </c>
      <c r="B347" s="210" t="s">
        <v>37</v>
      </c>
      <c r="C347" s="195" t="s">
        <v>1</v>
      </c>
      <c r="D347" s="196">
        <v>1.2</v>
      </c>
      <c r="E347" s="11">
        <f>E345*D347</f>
        <v>12.18</v>
      </c>
      <c r="F347" s="11">
        <f t="shared" si="204"/>
        <v>0</v>
      </c>
      <c r="G347" s="11"/>
      <c r="H347" s="540"/>
      <c r="I347" s="11">
        <f t="shared" si="205"/>
        <v>0</v>
      </c>
      <c r="J347" s="11"/>
      <c r="K347" s="11">
        <f>H347*E347</f>
        <v>0</v>
      </c>
      <c r="L347" s="212" t="s">
        <v>15</v>
      </c>
      <c r="N347" s="10"/>
    </row>
    <row r="348" spans="1:14" ht="31.5" x14ac:dyDescent="0.25">
      <c r="A348" s="534">
        <v>328</v>
      </c>
      <c r="B348" s="203" t="s">
        <v>138</v>
      </c>
      <c r="C348" s="209" t="s">
        <v>1</v>
      </c>
      <c r="D348" s="205"/>
      <c r="E348" s="15">
        <f>Расч.!O18</f>
        <v>10.15</v>
      </c>
      <c r="F348" s="537">
        <f t="shared" ref="F348:F349" si="206">G348+H348</f>
        <v>0</v>
      </c>
      <c r="G348" s="538"/>
      <c r="H348" s="537"/>
      <c r="I348" s="537">
        <f t="shared" ref="I348:I349" si="207">J348+K348</f>
        <v>0</v>
      </c>
      <c r="J348" s="539">
        <f>G348*E348</f>
        <v>0</v>
      </c>
      <c r="K348" s="537"/>
      <c r="L348" s="207"/>
      <c r="N348" s="10"/>
    </row>
    <row r="349" spans="1:14" ht="31.5" x14ac:dyDescent="0.25">
      <c r="A349" s="198">
        <v>329</v>
      </c>
      <c r="B349" s="210" t="s">
        <v>84</v>
      </c>
      <c r="C349" s="195" t="s">
        <v>25</v>
      </c>
      <c r="D349" s="196">
        <v>0.35</v>
      </c>
      <c r="E349" s="11">
        <f>E348*D349</f>
        <v>3.55</v>
      </c>
      <c r="F349" s="11">
        <f t="shared" si="206"/>
        <v>0</v>
      </c>
      <c r="G349" s="11"/>
      <c r="H349" s="540"/>
      <c r="I349" s="11">
        <f t="shared" si="207"/>
        <v>0</v>
      </c>
      <c r="J349" s="11"/>
      <c r="K349" s="11">
        <f>H349*E349</f>
        <v>0</v>
      </c>
      <c r="L349" s="212" t="s">
        <v>15</v>
      </c>
      <c r="N349" s="10"/>
    </row>
    <row r="350" spans="1:14" ht="31.5" x14ac:dyDescent="0.25">
      <c r="A350" s="534">
        <v>330</v>
      </c>
      <c r="B350" s="203" t="s">
        <v>58</v>
      </c>
      <c r="C350" s="209" t="s">
        <v>1</v>
      </c>
      <c r="D350" s="205"/>
      <c r="E350" s="15">
        <f>Расч.!O18</f>
        <v>10.15</v>
      </c>
      <c r="F350" s="537">
        <f t="shared" ref="F350:F353" si="208">G350+H350</f>
        <v>0</v>
      </c>
      <c r="G350" s="538"/>
      <c r="H350" s="537"/>
      <c r="I350" s="537">
        <f t="shared" ref="I350:I353" si="209">J350+K350</f>
        <v>0</v>
      </c>
      <c r="J350" s="539">
        <f>G350*E350</f>
        <v>0</v>
      </c>
      <c r="K350" s="537"/>
      <c r="L350" s="207"/>
      <c r="N350" s="10"/>
    </row>
    <row r="351" spans="1:14" x14ac:dyDescent="0.25">
      <c r="A351" s="198">
        <v>331</v>
      </c>
      <c r="B351" s="341" t="s">
        <v>68</v>
      </c>
      <c r="C351" s="328" t="s">
        <v>1</v>
      </c>
      <c r="D351" s="329">
        <v>1.1599999999999999</v>
      </c>
      <c r="E351" s="11">
        <f>E350*D351</f>
        <v>11.77</v>
      </c>
      <c r="F351" s="11">
        <f t="shared" si="208"/>
        <v>0</v>
      </c>
      <c r="G351" s="11"/>
      <c r="H351" s="540"/>
      <c r="I351" s="11">
        <f t="shared" si="209"/>
        <v>0</v>
      </c>
      <c r="J351" s="11"/>
      <c r="K351" s="11">
        <f>H351*E351</f>
        <v>0</v>
      </c>
      <c r="L351" s="212" t="s">
        <v>15</v>
      </c>
      <c r="N351" s="10"/>
    </row>
    <row r="352" spans="1:14" x14ac:dyDescent="0.25">
      <c r="A352" s="198">
        <v>332</v>
      </c>
      <c r="B352" s="341" t="s">
        <v>219</v>
      </c>
      <c r="C352" s="328" t="s">
        <v>1</v>
      </c>
      <c r="D352" s="329">
        <v>1.1399999999999999</v>
      </c>
      <c r="E352" s="11">
        <f>E350*D352</f>
        <v>11.57</v>
      </c>
      <c r="F352" s="11">
        <f t="shared" si="208"/>
        <v>0</v>
      </c>
      <c r="G352" s="11"/>
      <c r="H352" s="540"/>
      <c r="I352" s="11">
        <f t="shared" si="209"/>
        <v>0</v>
      </c>
      <c r="J352" s="11"/>
      <c r="K352" s="11">
        <f>H352*E352</f>
        <v>0</v>
      </c>
      <c r="L352" s="212" t="s">
        <v>15</v>
      </c>
      <c r="N352" s="10"/>
    </row>
    <row r="353" spans="1:14" x14ac:dyDescent="0.25">
      <c r="A353" s="198">
        <v>333</v>
      </c>
      <c r="B353" s="341" t="s">
        <v>28</v>
      </c>
      <c r="C353" s="346" t="s">
        <v>3</v>
      </c>
      <c r="D353" s="347">
        <v>0.6</v>
      </c>
      <c r="E353" s="11">
        <f>E350*D353</f>
        <v>6.09</v>
      </c>
      <c r="F353" s="11">
        <f t="shared" si="208"/>
        <v>0</v>
      </c>
      <c r="G353" s="11"/>
      <c r="H353" s="540"/>
      <c r="I353" s="11">
        <f t="shared" si="209"/>
        <v>0</v>
      </c>
      <c r="J353" s="11"/>
      <c r="K353" s="11">
        <f>H353*E353</f>
        <v>0</v>
      </c>
      <c r="L353" s="106" t="s">
        <v>15</v>
      </c>
      <c r="N353" s="10"/>
    </row>
    <row r="354" spans="1:14" x14ac:dyDescent="0.25">
      <c r="A354" s="534">
        <v>334</v>
      </c>
      <c r="B354" s="203" t="s">
        <v>64</v>
      </c>
      <c r="C354" s="209" t="s">
        <v>30</v>
      </c>
      <c r="D354" s="205"/>
      <c r="E354" s="15">
        <f>Расч.!S92</f>
        <v>13.7</v>
      </c>
      <c r="F354" s="537">
        <f t="shared" ref="F354:F356" si="210">G354+H354</f>
        <v>0</v>
      </c>
      <c r="G354" s="538"/>
      <c r="H354" s="537"/>
      <c r="I354" s="537">
        <f t="shared" ref="I354:I356" si="211">J354+K354</f>
        <v>0</v>
      </c>
      <c r="J354" s="539">
        <f>G354*E354</f>
        <v>0</v>
      </c>
      <c r="K354" s="537"/>
      <c r="L354" s="207"/>
      <c r="N354" s="10"/>
    </row>
    <row r="355" spans="1:14" x14ac:dyDescent="0.25">
      <c r="A355" s="198">
        <v>335</v>
      </c>
      <c r="B355" s="341" t="s">
        <v>31</v>
      </c>
      <c r="C355" s="329" t="s">
        <v>0</v>
      </c>
      <c r="D355" s="329">
        <v>5</v>
      </c>
      <c r="E355" s="11">
        <f>E354*D355</f>
        <v>68.5</v>
      </c>
      <c r="F355" s="11">
        <f t="shared" si="210"/>
        <v>0</v>
      </c>
      <c r="G355" s="11"/>
      <c r="H355" s="540"/>
      <c r="I355" s="11">
        <f t="shared" si="211"/>
        <v>0</v>
      </c>
      <c r="J355" s="11"/>
      <c r="K355" s="11">
        <f>H355*E355</f>
        <v>0</v>
      </c>
      <c r="L355" s="212" t="s">
        <v>119</v>
      </c>
      <c r="N355" s="10"/>
    </row>
    <row r="356" spans="1:14" ht="33.75" customHeight="1" x14ac:dyDescent="0.25">
      <c r="A356" s="198">
        <v>336</v>
      </c>
      <c r="B356" s="341" t="s">
        <v>233</v>
      </c>
      <c r="C356" s="328" t="s">
        <v>2</v>
      </c>
      <c r="D356" s="329">
        <v>1.1000000000000001</v>
      </c>
      <c r="E356" s="11">
        <f>ROUND(D356*E354,0)</f>
        <v>15</v>
      </c>
      <c r="F356" s="11">
        <f t="shared" si="210"/>
        <v>0</v>
      </c>
      <c r="G356" s="11"/>
      <c r="H356" s="540"/>
      <c r="I356" s="11">
        <f t="shared" si="211"/>
        <v>0</v>
      </c>
      <c r="J356" s="11"/>
      <c r="K356" s="11">
        <f>H356*E356</f>
        <v>0</v>
      </c>
      <c r="L356" s="197" t="s">
        <v>15</v>
      </c>
      <c r="N356" s="10"/>
    </row>
    <row r="357" spans="1:14" x14ac:dyDescent="0.25">
      <c r="A357" s="251"/>
      <c r="B357" s="199" t="s">
        <v>246</v>
      </c>
      <c r="C357" s="200"/>
      <c r="D357" s="201"/>
      <c r="E357" s="201"/>
      <c r="F357" s="201"/>
      <c r="G357" s="201"/>
      <c r="H357" s="201"/>
      <c r="I357" s="201"/>
      <c r="J357" s="201"/>
      <c r="K357" s="201"/>
      <c r="L357" s="202"/>
      <c r="N357" s="10"/>
    </row>
    <row r="358" spans="1:14" ht="31.5" x14ac:dyDescent="0.25">
      <c r="A358" s="534">
        <v>337</v>
      </c>
      <c r="B358" s="203" t="s">
        <v>217</v>
      </c>
      <c r="C358" s="209" t="s">
        <v>1</v>
      </c>
      <c r="D358" s="205"/>
      <c r="E358" s="206">
        <f>Расч.!Y18+Расч.!Y21*0.1</f>
        <v>18.920000000000002</v>
      </c>
      <c r="F358" s="537">
        <f t="shared" ref="F358:F359" si="212">G358+H358</f>
        <v>0</v>
      </c>
      <c r="G358" s="538"/>
      <c r="H358" s="537"/>
      <c r="I358" s="537">
        <f t="shared" ref="I358:I359" si="213">J358+K358</f>
        <v>0</v>
      </c>
      <c r="J358" s="539">
        <f>G358*E358</f>
        <v>0</v>
      </c>
      <c r="K358" s="537"/>
      <c r="L358" s="207"/>
      <c r="N358" s="10"/>
    </row>
    <row r="359" spans="1:14" x14ac:dyDescent="0.25">
      <c r="A359" s="198">
        <v>338</v>
      </c>
      <c r="B359" s="345" t="s">
        <v>218</v>
      </c>
      <c r="C359" s="195" t="s">
        <v>1</v>
      </c>
      <c r="D359" s="196">
        <v>1.1499999999999999</v>
      </c>
      <c r="E359" s="11">
        <f>E358*D359</f>
        <v>21.76</v>
      </c>
      <c r="F359" s="11">
        <f t="shared" si="212"/>
        <v>0</v>
      </c>
      <c r="G359" s="11"/>
      <c r="H359" s="540"/>
      <c r="I359" s="11">
        <f t="shared" si="213"/>
        <v>0</v>
      </c>
      <c r="J359" s="11"/>
      <c r="K359" s="11">
        <f>H359*E359</f>
        <v>0</v>
      </c>
      <c r="L359" s="197" t="s">
        <v>15</v>
      </c>
      <c r="N359" s="10"/>
    </row>
    <row r="360" spans="1:14" x14ac:dyDescent="0.25">
      <c r="A360" s="534">
        <v>339</v>
      </c>
      <c r="B360" s="203" t="s">
        <v>57</v>
      </c>
      <c r="C360" s="209" t="s">
        <v>1</v>
      </c>
      <c r="D360" s="205"/>
      <c r="E360" s="15">
        <f>Расч.!Y18</f>
        <v>17.13</v>
      </c>
      <c r="F360" s="537">
        <f t="shared" ref="F360:F361" si="214">G360+H360</f>
        <v>0</v>
      </c>
      <c r="G360" s="538"/>
      <c r="H360" s="537"/>
      <c r="I360" s="537">
        <f t="shared" ref="I360:I361" si="215">J360+K360</f>
        <v>0</v>
      </c>
      <c r="J360" s="539">
        <f>G360*E360</f>
        <v>0</v>
      </c>
      <c r="K360" s="537"/>
      <c r="L360" s="207"/>
      <c r="N360" s="10"/>
    </row>
    <row r="361" spans="1:14" ht="31.5" x14ac:dyDescent="0.25">
      <c r="A361" s="198">
        <v>340</v>
      </c>
      <c r="B361" s="208" t="s">
        <v>234</v>
      </c>
      <c r="C361" s="195" t="s">
        <v>27</v>
      </c>
      <c r="D361" s="196">
        <v>1.1000000000000001</v>
      </c>
      <c r="E361" s="11">
        <f>E360*D361*0.1</f>
        <v>1.88</v>
      </c>
      <c r="F361" s="11">
        <f t="shared" si="214"/>
        <v>0</v>
      </c>
      <c r="G361" s="11"/>
      <c r="H361" s="540"/>
      <c r="I361" s="11">
        <f t="shared" si="215"/>
        <v>0</v>
      </c>
      <c r="J361" s="11"/>
      <c r="K361" s="11">
        <f>H361*E361</f>
        <v>0</v>
      </c>
      <c r="L361" s="197" t="s">
        <v>15</v>
      </c>
      <c r="N361" s="10"/>
    </row>
    <row r="362" spans="1:14" x14ac:dyDescent="0.25">
      <c r="A362" s="534">
        <v>341</v>
      </c>
      <c r="B362" s="203" t="s">
        <v>60</v>
      </c>
      <c r="C362" s="209" t="s">
        <v>1</v>
      </c>
      <c r="D362" s="205"/>
      <c r="E362" s="15">
        <f>E360</f>
        <v>17.13</v>
      </c>
      <c r="F362" s="537">
        <f t="shared" ref="F362:F363" si="216">G362+H362</f>
        <v>0</v>
      </c>
      <c r="G362" s="538"/>
      <c r="H362" s="537"/>
      <c r="I362" s="537">
        <f t="shared" ref="I362:I363" si="217">J362+K362</f>
        <v>0</v>
      </c>
      <c r="J362" s="539">
        <f>G362*E362</f>
        <v>0</v>
      </c>
      <c r="K362" s="537"/>
      <c r="L362" s="207"/>
      <c r="N362" s="10"/>
    </row>
    <row r="363" spans="1:14" x14ac:dyDescent="0.25">
      <c r="A363" s="198">
        <v>342</v>
      </c>
      <c r="B363" s="208" t="s">
        <v>29</v>
      </c>
      <c r="C363" s="195" t="s">
        <v>1</v>
      </c>
      <c r="D363" s="196">
        <v>1.1499999999999999</v>
      </c>
      <c r="E363" s="11">
        <f>E362*D363</f>
        <v>19.7</v>
      </c>
      <c r="F363" s="11">
        <f t="shared" si="216"/>
        <v>0</v>
      </c>
      <c r="G363" s="11"/>
      <c r="H363" s="540"/>
      <c r="I363" s="11">
        <f t="shared" si="217"/>
        <v>0</v>
      </c>
      <c r="J363" s="11"/>
      <c r="K363" s="11">
        <f>H363*E363</f>
        <v>0</v>
      </c>
      <c r="L363" s="197" t="s">
        <v>15</v>
      </c>
      <c r="N363" s="10"/>
    </row>
    <row r="364" spans="1:14" ht="47.25" x14ac:dyDescent="0.25">
      <c r="A364" s="534">
        <v>343</v>
      </c>
      <c r="B364" s="203" t="s">
        <v>120</v>
      </c>
      <c r="C364" s="209" t="s">
        <v>1</v>
      </c>
      <c r="D364" s="205"/>
      <c r="E364" s="15">
        <f>Расч.!Y18</f>
        <v>17.13</v>
      </c>
      <c r="F364" s="537">
        <f t="shared" ref="F364:F366" si="218">G364+H364</f>
        <v>0</v>
      </c>
      <c r="G364" s="538"/>
      <c r="H364" s="537"/>
      <c r="I364" s="537">
        <f t="shared" ref="I364:I366" si="219">J364+K364</f>
        <v>0</v>
      </c>
      <c r="J364" s="539">
        <f>G364*E364</f>
        <v>0</v>
      </c>
      <c r="K364" s="537"/>
      <c r="L364" s="207"/>
      <c r="N364" s="10"/>
    </row>
    <row r="365" spans="1:14" x14ac:dyDescent="0.25">
      <c r="A365" s="198">
        <v>344</v>
      </c>
      <c r="B365" s="210" t="s">
        <v>26</v>
      </c>
      <c r="C365" s="195" t="s">
        <v>27</v>
      </c>
      <c r="D365" s="211">
        <v>1.0149999999999999</v>
      </c>
      <c r="E365" s="11">
        <f>Расч.!AD21*D365</f>
        <v>1.33</v>
      </c>
      <c r="F365" s="11">
        <f t="shared" si="218"/>
        <v>0</v>
      </c>
      <c r="G365" s="11"/>
      <c r="H365" s="540"/>
      <c r="I365" s="11">
        <f t="shared" si="219"/>
        <v>0</v>
      </c>
      <c r="J365" s="11"/>
      <c r="K365" s="11">
        <f>H365*E365</f>
        <v>0</v>
      </c>
      <c r="L365" s="197" t="s">
        <v>15</v>
      </c>
      <c r="N365" s="10"/>
    </row>
    <row r="366" spans="1:14" x14ac:dyDescent="0.25">
      <c r="A366" s="198">
        <v>345</v>
      </c>
      <c r="B366" s="210" t="s">
        <v>37</v>
      </c>
      <c r="C366" s="195" t="s">
        <v>1</v>
      </c>
      <c r="D366" s="196">
        <v>1.2</v>
      </c>
      <c r="E366" s="11">
        <f>E364*D366</f>
        <v>20.56</v>
      </c>
      <c r="F366" s="11">
        <f t="shared" si="218"/>
        <v>0</v>
      </c>
      <c r="G366" s="11"/>
      <c r="H366" s="540"/>
      <c r="I366" s="11">
        <f t="shared" si="219"/>
        <v>0</v>
      </c>
      <c r="J366" s="11"/>
      <c r="K366" s="11">
        <f>H366*E366</f>
        <v>0</v>
      </c>
      <c r="L366" s="212" t="s">
        <v>15</v>
      </c>
      <c r="N366" s="10"/>
    </row>
    <row r="367" spans="1:14" ht="31.5" customHeight="1" x14ac:dyDescent="0.25">
      <c r="A367" s="534">
        <v>346</v>
      </c>
      <c r="B367" s="203" t="s">
        <v>61</v>
      </c>
      <c r="C367" s="209" t="s">
        <v>30</v>
      </c>
      <c r="D367" s="205"/>
      <c r="E367" s="15">
        <f>Расч.!Y21</f>
        <v>17.86</v>
      </c>
      <c r="F367" s="537">
        <f t="shared" ref="F367:F368" si="220">G367+H367</f>
        <v>0</v>
      </c>
      <c r="G367" s="538"/>
      <c r="H367" s="537"/>
      <c r="I367" s="537">
        <f t="shared" ref="I367:I368" si="221">J367+K367</f>
        <v>0</v>
      </c>
      <c r="J367" s="539">
        <f>G367*E367</f>
        <v>0</v>
      </c>
      <c r="K367" s="537"/>
      <c r="L367" s="207"/>
      <c r="N367" s="10"/>
    </row>
    <row r="368" spans="1:14" x14ac:dyDescent="0.25">
      <c r="A368" s="198">
        <v>347</v>
      </c>
      <c r="B368" s="210" t="s">
        <v>26</v>
      </c>
      <c r="C368" s="195" t="s">
        <v>27</v>
      </c>
      <c r="D368" s="211">
        <v>5.0000000000000001E-3</v>
      </c>
      <c r="E368" s="11">
        <f>D368*E367</f>
        <v>0.09</v>
      </c>
      <c r="F368" s="11">
        <f t="shared" si="220"/>
        <v>0</v>
      </c>
      <c r="G368" s="11"/>
      <c r="H368" s="540"/>
      <c r="I368" s="11">
        <f t="shared" si="221"/>
        <v>0</v>
      </c>
      <c r="J368" s="11"/>
      <c r="K368" s="11">
        <f>H368*E368</f>
        <v>0</v>
      </c>
      <c r="L368" s="197" t="s">
        <v>15</v>
      </c>
      <c r="N368" s="10"/>
    </row>
    <row r="369" spans="1:14" ht="47.25" x14ac:dyDescent="0.25">
      <c r="A369" s="534">
        <v>348</v>
      </c>
      <c r="B369" s="203" t="s">
        <v>83</v>
      </c>
      <c r="C369" s="209" t="s">
        <v>1</v>
      </c>
      <c r="D369" s="205"/>
      <c r="E369" s="15">
        <f>Расч.!Y18+Расч.!Y21*0.3</f>
        <v>22.49</v>
      </c>
      <c r="F369" s="537">
        <f t="shared" ref="F369:F370" si="222">G369+H369</f>
        <v>0</v>
      </c>
      <c r="G369" s="538"/>
      <c r="H369" s="537"/>
      <c r="I369" s="537">
        <f t="shared" ref="I369:I370" si="223">J369+K369</f>
        <v>0</v>
      </c>
      <c r="J369" s="539">
        <f>G369*E369</f>
        <v>0</v>
      </c>
      <c r="K369" s="537"/>
      <c r="L369" s="207"/>
      <c r="N369" s="10"/>
    </row>
    <row r="370" spans="1:14" ht="31.5" x14ac:dyDescent="0.25">
      <c r="A370" s="198">
        <v>349</v>
      </c>
      <c r="B370" s="210" t="s">
        <v>84</v>
      </c>
      <c r="C370" s="195" t="s">
        <v>25</v>
      </c>
      <c r="D370" s="196">
        <v>0.35</v>
      </c>
      <c r="E370" s="11">
        <f>E369*D370</f>
        <v>7.87</v>
      </c>
      <c r="F370" s="11">
        <f t="shared" si="222"/>
        <v>0</v>
      </c>
      <c r="G370" s="11"/>
      <c r="H370" s="540"/>
      <c r="I370" s="11">
        <f t="shared" si="223"/>
        <v>0</v>
      </c>
      <c r="J370" s="11"/>
      <c r="K370" s="11">
        <f>H370*E370</f>
        <v>0</v>
      </c>
      <c r="L370" s="212" t="s">
        <v>15</v>
      </c>
      <c r="N370" s="10"/>
    </row>
    <row r="371" spans="1:14" ht="31.5" x14ac:dyDescent="0.25">
      <c r="A371" s="534">
        <v>350</v>
      </c>
      <c r="B371" s="203" t="s">
        <v>58</v>
      </c>
      <c r="C371" s="209" t="s">
        <v>1</v>
      </c>
      <c r="D371" s="205"/>
      <c r="E371" s="15">
        <f>Расч.!Y18</f>
        <v>17.13</v>
      </c>
      <c r="F371" s="537">
        <f t="shared" ref="F371:F374" si="224">G371+H371</f>
        <v>0</v>
      </c>
      <c r="G371" s="538"/>
      <c r="H371" s="537"/>
      <c r="I371" s="537">
        <f t="shared" ref="I371:I374" si="225">J371+K371</f>
        <v>0</v>
      </c>
      <c r="J371" s="539">
        <f>G371*E371</f>
        <v>0</v>
      </c>
      <c r="K371" s="537"/>
      <c r="L371" s="207"/>
      <c r="N371" s="10"/>
    </row>
    <row r="372" spans="1:14" x14ac:dyDescent="0.25">
      <c r="A372" s="198">
        <v>351</v>
      </c>
      <c r="B372" s="341" t="s">
        <v>68</v>
      </c>
      <c r="C372" s="328" t="s">
        <v>1</v>
      </c>
      <c r="D372" s="329">
        <v>1.1599999999999999</v>
      </c>
      <c r="E372" s="11">
        <f>E371*D372</f>
        <v>19.87</v>
      </c>
      <c r="F372" s="11">
        <f t="shared" si="224"/>
        <v>0</v>
      </c>
      <c r="G372" s="11"/>
      <c r="H372" s="540"/>
      <c r="I372" s="11">
        <f t="shared" si="225"/>
        <v>0</v>
      </c>
      <c r="J372" s="11"/>
      <c r="K372" s="11">
        <f>H372*E372</f>
        <v>0</v>
      </c>
      <c r="L372" s="212" t="s">
        <v>15</v>
      </c>
      <c r="N372" s="10"/>
    </row>
    <row r="373" spans="1:14" x14ac:dyDescent="0.25">
      <c r="A373" s="198">
        <v>352</v>
      </c>
      <c r="B373" s="341" t="s">
        <v>219</v>
      </c>
      <c r="C373" s="328" t="s">
        <v>1</v>
      </c>
      <c r="D373" s="329">
        <v>1.1399999999999999</v>
      </c>
      <c r="E373" s="11">
        <f>E371*D373</f>
        <v>19.53</v>
      </c>
      <c r="F373" s="11">
        <f t="shared" si="224"/>
        <v>0</v>
      </c>
      <c r="G373" s="11"/>
      <c r="H373" s="540"/>
      <c r="I373" s="11">
        <f t="shared" si="225"/>
        <v>0</v>
      </c>
      <c r="J373" s="11"/>
      <c r="K373" s="11">
        <f>H373*E373</f>
        <v>0</v>
      </c>
      <c r="L373" s="212" t="s">
        <v>15</v>
      </c>
      <c r="N373" s="10"/>
    </row>
    <row r="374" spans="1:14" x14ac:dyDescent="0.25">
      <c r="A374" s="198">
        <v>353</v>
      </c>
      <c r="B374" s="341" t="s">
        <v>28</v>
      </c>
      <c r="C374" s="346" t="s">
        <v>3</v>
      </c>
      <c r="D374" s="347">
        <v>0.6</v>
      </c>
      <c r="E374" s="11">
        <f>E371*D374</f>
        <v>10.28</v>
      </c>
      <c r="F374" s="11">
        <f t="shared" si="224"/>
        <v>0</v>
      </c>
      <c r="G374" s="11"/>
      <c r="H374" s="540"/>
      <c r="I374" s="11">
        <f t="shared" si="225"/>
        <v>0</v>
      </c>
      <c r="J374" s="11"/>
      <c r="K374" s="11">
        <f>H374*E374</f>
        <v>0</v>
      </c>
      <c r="L374" s="106" t="s">
        <v>15</v>
      </c>
      <c r="N374" s="10"/>
    </row>
    <row r="375" spans="1:14" ht="31.5" x14ac:dyDescent="0.25">
      <c r="A375" s="534">
        <v>354</v>
      </c>
      <c r="B375" s="203" t="s">
        <v>35</v>
      </c>
      <c r="C375" s="209" t="s">
        <v>30</v>
      </c>
      <c r="D375" s="205"/>
      <c r="E375" s="15">
        <f>Расч.!Y21</f>
        <v>17.86</v>
      </c>
      <c r="F375" s="537">
        <f t="shared" ref="F375:F382" si="226">G375+H375</f>
        <v>0</v>
      </c>
      <c r="G375" s="538"/>
      <c r="H375" s="537"/>
      <c r="I375" s="537">
        <f t="shared" ref="I375:I382" si="227">J375+K375</f>
        <v>0</v>
      </c>
      <c r="J375" s="539">
        <f>G375*E375</f>
        <v>0</v>
      </c>
      <c r="K375" s="537"/>
      <c r="L375" s="207"/>
      <c r="N375" s="10"/>
    </row>
    <row r="376" spans="1:14" x14ac:dyDescent="0.25">
      <c r="A376" s="198">
        <v>355</v>
      </c>
      <c r="B376" s="341" t="s">
        <v>68</v>
      </c>
      <c r="C376" s="328" t="s">
        <v>1</v>
      </c>
      <c r="D376" s="329">
        <v>1.1599999999999999</v>
      </c>
      <c r="E376" s="11">
        <f>E375*0.5*D376</f>
        <v>10.36</v>
      </c>
      <c r="F376" s="11">
        <f t="shared" si="226"/>
        <v>0</v>
      </c>
      <c r="G376" s="11"/>
      <c r="H376" s="540"/>
      <c r="I376" s="11">
        <f t="shared" si="227"/>
        <v>0</v>
      </c>
      <c r="J376" s="11"/>
      <c r="K376" s="11">
        <f>H376*E376</f>
        <v>0</v>
      </c>
      <c r="L376" s="197" t="s">
        <v>15</v>
      </c>
      <c r="N376" s="10"/>
    </row>
    <row r="377" spans="1:14" x14ac:dyDescent="0.25">
      <c r="A377" s="198">
        <v>356</v>
      </c>
      <c r="B377" s="341" t="s">
        <v>219</v>
      </c>
      <c r="C377" s="328" t="s">
        <v>1</v>
      </c>
      <c r="D377" s="329">
        <v>1.1399999999999999</v>
      </c>
      <c r="E377" s="11">
        <f>E375*0.4*D377</f>
        <v>8.14</v>
      </c>
      <c r="F377" s="11">
        <f t="shared" si="226"/>
        <v>0</v>
      </c>
      <c r="G377" s="11"/>
      <c r="H377" s="540"/>
      <c r="I377" s="11">
        <f t="shared" si="227"/>
        <v>0</v>
      </c>
      <c r="J377" s="11"/>
      <c r="K377" s="11">
        <f>H377*E377</f>
        <v>0</v>
      </c>
      <c r="L377" s="197" t="s">
        <v>15</v>
      </c>
      <c r="N377" s="10"/>
    </row>
    <row r="378" spans="1:14" x14ac:dyDescent="0.25">
      <c r="A378" s="198">
        <v>357</v>
      </c>
      <c r="B378" s="341" t="s">
        <v>86</v>
      </c>
      <c r="C378" s="328" t="s">
        <v>27</v>
      </c>
      <c r="D378" s="329">
        <v>1.1399999999999999</v>
      </c>
      <c r="E378" s="11">
        <f>E375*0.25*D378</f>
        <v>5.09</v>
      </c>
      <c r="F378" s="11">
        <f t="shared" si="226"/>
        <v>0</v>
      </c>
      <c r="G378" s="11"/>
      <c r="H378" s="540"/>
      <c r="I378" s="11">
        <f t="shared" si="227"/>
        <v>0</v>
      </c>
      <c r="J378" s="11"/>
      <c r="K378" s="11">
        <f>H378*E378</f>
        <v>0</v>
      </c>
      <c r="L378" s="106" t="s">
        <v>15</v>
      </c>
      <c r="N378" s="10"/>
    </row>
    <row r="379" spans="1:14" x14ac:dyDescent="0.25">
      <c r="A379" s="198">
        <v>358</v>
      </c>
      <c r="B379" s="341" t="s">
        <v>28</v>
      </c>
      <c r="C379" s="346" t="s">
        <v>3</v>
      </c>
      <c r="D379" s="329">
        <v>0.6</v>
      </c>
      <c r="E379" s="11">
        <f>E375*D379</f>
        <v>10.72</v>
      </c>
      <c r="F379" s="11">
        <f t="shared" si="226"/>
        <v>0</v>
      </c>
      <c r="G379" s="11"/>
      <c r="H379" s="540"/>
      <c r="I379" s="11">
        <f t="shared" si="227"/>
        <v>0</v>
      </c>
      <c r="J379" s="11"/>
      <c r="K379" s="11">
        <f>H379*E379</f>
        <v>0</v>
      </c>
      <c r="L379" s="106" t="s">
        <v>15</v>
      </c>
      <c r="N379" s="10"/>
    </row>
    <row r="380" spans="1:14" ht="31.5" x14ac:dyDescent="0.25">
      <c r="A380" s="198">
        <v>359</v>
      </c>
      <c r="B380" s="210" t="s">
        <v>43</v>
      </c>
      <c r="C380" s="214" t="s">
        <v>2</v>
      </c>
      <c r="D380" s="196">
        <v>1.03</v>
      </c>
      <c r="E380" s="11">
        <f>E375*D380</f>
        <v>18.399999999999999</v>
      </c>
      <c r="F380" s="11">
        <f t="shared" si="226"/>
        <v>0</v>
      </c>
      <c r="G380" s="11"/>
      <c r="H380" s="540"/>
      <c r="I380" s="11">
        <f t="shared" si="227"/>
        <v>0</v>
      </c>
      <c r="J380" s="11"/>
      <c r="K380" s="11">
        <f>H380*E380</f>
        <v>0</v>
      </c>
      <c r="L380" s="197" t="s">
        <v>15</v>
      </c>
      <c r="N380" s="10"/>
    </row>
    <row r="381" spans="1:14" x14ac:dyDescent="0.25">
      <c r="A381" s="198">
        <v>360</v>
      </c>
      <c r="B381" s="210" t="s">
        <v>31</v>
      </c>
      <c r="C381" s="215" t="s">
        <v>0</v>
      </c>
      <c r="D381" s="196">
        <v>5</v>
      </c>
      <c r="E381" s="11">
        <f>ROUND(E375*D381,0)</f>
        <v>89</v>
      </c>
      <c r="F381" s="11">
        <f t="shared" si="226"/>
        <v>0</v>
      </c>
      <c r="G381" s="11"/>
      <c r="H381" s="540"/>
      <c r="I381" s="11">
        <f t="shared" si="227"/>
        <v>0</v>
      </c>
      <c r="J381" s="11"/>
      <c r="K381" s="11">
        <f>H381*E381</f>
        <v>0</v>
      </c>
      <c r="L381" s="197" t="s">
        <v>15</v>
      </c>
      <c r="N381" s="10"/>
    </row>
    <row r="382" spans="1:14" ht="31.5" x14ac:dyDescent="0.25">
      <c r="A382" s="198">
        <v>361</v>
      </c>
      <c r="B382" s="210" t="s">
        <v>69</v>
      </c>
      <c r="C382" s="216" t="s">
        <v>0</v>
      </c>
      <c r="D382" s="196">
        <v>0.15</v>
      </c>
      <c r="E382" s="11">
        <f>ROUND(E375*D382,)</f>
        <v>3</v>
      </c>
      <c r="F382" s="11">
        <f t="shared" si="226"/>
        <v>0</v>
      </c>
      <c r="G382" s="11"/>
      <c r="H382" s="540"/>
      <c r="I382" s="11">
        <f t="shared" si="227"/>
        <v>0</v>
      </c>
      <c r="J382" s="11"/>
      <c r="K382" s="11">
        <f>H382*E382</f>
        <v>0</v>
      </c>
      <c r="L382" s="197" t="s">
        <v>15</v>
      </c>
      <c r="N382" s="10"/>
    </row>
    <row r="383" spans="1:14" x14ac:dyDescent="0.25">
      <c r="A383" s="534">
        <v>362</v>
      </c>
      <c r="B383" s="203" t="s">
        <v>59</v>
      </c>
      <c r="C383" s="209" t="s">
        <v>30</v>
      </c>
      <c r="D383" s="205"/>
      <c r="E383" s="15">
        <f>Расч.!V92</f>
        <v>19.7</v>
      </c>
      <c r="F383" s="537">
        <f t="shared" ref="F383:F386" si="228">G383+H383</f>
        <v>0</v>
      </c>
      <c r="G383" s="538"/>
      <c r="H383" s="537"/>
      <c r="I383" s="537">
        <f t="shared" ref="I383:I386" si="229">J383+K383</f>
        <v>0</v>
      </c>
      <c r="J383" s="539">
        <f>G383*E383</f>
        <v>0</v>
      </c>
      <c r="K383" s="537"/>
      <c r="L383" s="207"/>
      <c r="N383" s="10"/>
    </row>
    <row r="384" spans="1:14" x14ac:dyDescent="0.25">
      <c r="A384" s="198">
        <v>363</v>
      </c>
      <c r="B384" s="210" t="s">
        <v>31</v>
      </c>
      <c r="C384" s="196" t="s">
        <v>0</v>
      </c>
      <c r="D384" s="196">
        <v>5</v>
      </c>
      <c r="E384" s="217">
        <f>ROUND(E383*D384,0)</f>
        <v>99</v>
      </c>
      <c r="F384" s="11">
        <f t="shared" si="228"/>
        <v>0</v>
      </c>
      <c r="G384" s="11"/>
      <c r="H384" s="540"/>
      <c r="I384" s="11">
        <f t="shared" si="229"/>
        <v>0</v>
      </c>
      <c r="J384" s="11"/>
      <c r="K384" s="11">
        <f>H384*E384</f>
        <v>0</v>
      </c>
      <c r="L384" s="212" t="s">
        <v>119</v>
      </c>
      <c r="N384" s="10"/>
    </row>
    <row r="385" spans="1:14" ht="47.25" x14ac:dyDescent="0.25">
      <c r="A385" s="198">
        <v>364</v>
      </c>
      <c r="B385" s="341" t="s">
        <v>247</v>
      </c>
      <c r="C385" s="195" t="s">
        <v>30</v>
      </c>
      <c r="D385" s="196">
        <v>1.1000000000000001</v>
      </c>
      <c r="E385" s="11">
        <f>E383*D385</f>
        <v>21.67</v>
      </c>
      <c r="F385" s="11">
        <f t="shared" si="228"/>
        <v>0</v>
      </c>
      <c r="G385" s="11"/>
      <c r="H385" s="540"/>
      <c r="I385" s="11">
        <f t="shared" si="229"/>
        <v>0</v>
      </c>
      <c r="J385" s="11"/>
      <c r="K385" s="11">
        <f>H385*E385</f>
        <v>0</v>
      </c>
      <c r="L385" s="212" t="s">
        <v>119</v>
      </c>
      <c r="N385" s="10"/>
    </row>
    <row r="386" spans="1:14" x14ac:dyDescent="0.25">
      <c r="A386" s="198">
        <v>365</v>
      </c>
      <c r="B386" s="210" t="s">
        <v>34</v>
      </c>
      <c r="C386" s="195" t="s">
        <v>0</v>
      </c>
      <c r="D386" s="196">
        <v>1.66</v>
      </c>
      <c r="E386" s="11">
        <f>ROUND(D386*E383,0)</f>
        <v>33</v>
      </c>
      <c r="F386" s="11">
        <f t="shared" si="228"/>
        <v>0</v>
      </c>
      <c r="G386" s="11"/>
      <c r="H386" s="540"/>
      <c r="I386" s="11">
        <f t="shared" si="229"/>
        <v>0</v>
      </c>
      <c r="J386" s="11"/>
      <c r="K386" s="11">
        <f>H386*E386</f>
        <v>0</v>
      </c>
      <c r="L386" s="197" t="s">
        <v>15</v>
      </c>
      <c r="N386" s="10"/>
    </row>
    <row r="387" spans="1:14" x14ac:dyDescent="0.25">
      <c r="A387" s="252"/>
      <c r="B387" s="3" t="s">
        <v>145</v>
      </c>
      <c r="C387" s="4" t="s">
        <v>72</v>
      </c>
      <c r="D387" s="27"/>
      <c r="E387" s="27"/>
      <c r="F387" s="27"/>
      <c r="G387" s="27"/>
      <c r="H387" s="27"/>
      <c r="I387" s="27"/>
      <c r="J387" s="27"/>
      <c r="K387" s="27"/>
      <c r="L387" s="28"/>
      <c r="N387" s="10"/>
    </row>
    <row r="388" spans="1:14" x14ac:dyDescent="0.25">
      <c r="A388" s="251"/>
      <c r="B388" s="123" t="s">
        <v>56</v>
      </c>
      <c r="C388" s="18"/>
      <c r="D388" s="19"/>
      <c r="E388" s="19"/>
      <c r="F388" s="19"/>
      <c r="G388" s="19"/>
      <c r="H388" s="19"/>
      <c r="I388" s="19"/>
      <c r="J388" s="19"/>
      <c r="K388" s="19"/>
      <c r="L388" s="20"/>
      <c r="N388" s="10"/>
    </row>
    <row r="389" spans="1:14" ht="31.5" x14ac:dyDescent="0.25">
      <c r="A389" s="534">
        <v>366</v>
      </c>
      <c r="B389" s="40" t="s">
        <v>217</v>
      </c>
      <c r="C389" s="124" t="s">
        <v>1</v>
      </c>
      <c r="D389" s="41"/>
      <c r="E389" s="42">
        <f>Расч.!E25+Расч.!E28*0.1</f>
        <v>344.97</v>
      </c>
      <c r="F389" s="537">
        <f t="shared" ref="F389:F390" si="230">G389+H389</f>
        <v>0</v>
      </c>
      <c r="G389" s="538"/>
      <c r="H389" s="537"/>
      <c r="I389" s="537">
        <f t="shared" ref="I389:I390" si="231">J389+K389</f>
        <v>0</v>
      </c>
      <c r="J389" s="539">
        <f>G389*E389</f>
        <v>0</v>
      </c>
      <c r="K389" s="537"/>
      <c r="L389" s="43"/>
      <c r="N389" s="10"/>
    </row>
    <row r="390" spans="1:14" x14ac:dyDescent="0.25">
      <c r="A390" s="198">
        <v>367</v>
      </c>
      <c r="B390" s="345" t="s">
        <v>218</v>
      </c>
      <c r="C390" s="44" t="s">
        <v>1</v>
      </c>
      <c r="D390" s="45">
        <v>1.1499999999999999</v>
      </c>
      <c r="E390" s="11">
        <f>E389*D390</f>
        <v>396.72</v>
      </c>
      <c r="F390" s="11">
        <f t="shared" si="230"/>
        <v>0</v>
      </c>
      <c r="G390" s="11"/>
      <c r="H390" s="540"/>
      <c r="I390" s="11">
        <f t="shared" si="231"/>
        <v>0</v>
      </c>
      <c r="J390" s="11"/>
      <c r="K390" s="11">
        <f>H390*E390</f>
        <v>0</v>
      </c>
      <c r="L390" s="46" t="s">
        <v>15</v>
      </c>
      <c r="N390" s="10"/>
    </row>
    <row r="391" spans="1:14" x14ac:dyDescent="0.25">
      <c r="A391" s="534">
        <v>368</v>
      </c>
      <c r="B391" s="49" t="s">
        <v>57</v>
      </c>
      <c r="C391" s="125" t="s">
        <v>1</v>
      </c>
      <c r="D391" s="50"/>
      <c r="E391" s="15">
        <f>Расч.!E25</f>
        <v>332.54</v>
      </c>
      <c r="F391" s="537">
        <f t="shared" ref="F391:F392" si="232">G391+H391</f>
        <v>0</v>
      </c>
      <c r="G391" s="538"/>
      <c r="H391" s="537"/>
      <c r="I391" s="537">
        <f t="shared" ref="I391:I392" si="233">J391+K391</f>
        <v>0</v>
      </c>
      <c r="J391" s="539">
        <f>G391*E391</f>
        <v>0</v>
      </c>
      <c r="K391" s="537"/>
      <c r="L391" s="51"/>
      <c r="N391" s="10"/>
    </row>
    <row r="392" spans="1:14" ht="32.25" customHeight="1" x14ac:dyDescent="0.25">
      <c r="A392" s="198">
        <v>369</v>
      </c>
      <c r="B392" s="74" t="s">
        <v>234</v>
      </c>
      <c r="C392" s="53" t="s">
        <v>27</v>
      </c>
      <c r="D392" s="54">
        <v>1.1000000000000001</v>
      </c>
      <c r="E392" s="11">
        <f>E391*D392*0.1</f>
        <v>36.58</v>
      </c>
      <c r="F392" s="11">
        <f t="shared" si="232"/>
        <v>0</v>
      </c>
      <c r="G392" s="11"/>
      <c r="H392" s="540"/>
      <c r="I392" s="11">
        <f t="shared" si="233"/>
        <v>0</v>
      </c>
      <c r="J392" s="11"/>
      <c r="K392" s="11">
        <f>H392*E392</f>
        <v>0</v>
      </c>
      <c r="L392" s="48" t="s">
        <v>15</v>
      </c>
      <c r="N392" s="10"/>
    </row>
    <row r="393" spans="1:14" x14ac:dyDescent="0.25">
      <c r="A393" s="534">
        <v>370</v>
      </c>
      <c r="B393" s="49" t="s">
        <v>60</v>
      </c>
      <c r="C393" s="125" t="s">
        <v>1</v>
      </c>
      <c r="D393" s="50"/>
      <c r="E393" s="15">
        <f>Расч.!E25</f>
        <v>332.54</v>
      </c>
      <c r="F393" s="537">
        <f t="shared" ref="F393:F394" si="234">G393+H393</f>
        <v>0</v>
      </c>
      <c r="G393" s="538"/>
      <c r="H393" s="537"/>
      <c r="I393" s="537">
        <f t="shared" ref="I393:I394" si="235">J393+K393</f>
        <v>0</v>
      </c>
      <c r="J393" s="539">
        <f>G393*E393</f>
        <v>0</v>
      </c>
      <c r="K393" s="537"/>
      <c r="L393" s="51"/>
      <c r="N393" s="10"/>
    </row>
    <row r="394" spans="1:14" x14ac:dyDescent="0.25">
      <c r="A394" s="198">
        <v>371</v>
      </c>
      <c r="B394" s="52" t="s">
        <v>29</v>
      </c>
      <c r="C394" s="53" t="s">
        <v>1</v>
      </c>
      <c r="D394" s="54">
        <v>1.1499999999999999</v>
      </c>
      <c r="E394" s="11">
        <f>E393*D394</f>
        <v>382.42</v>
      </c>
      <c r="F394" s="11">
        <f t="shared" si="234"/>
        <v>0</v>
      </c>
      <c r="G394" s="11"/>
      <c r="H394" s="540"/>
      <c r="I394" s="11">
        <f t="shared" si="235"/>
        <v>0</v>
      </c>
      <c r="J394" s="11"/>
      <c r="K394" s="11">
        <f>H394*E394</f>
        <v>0</v>
      </c>
      <c r="L394" s="48" t="s">
        <v>15</v>
      </c>
      <c r="N394" s="10"/>
    </row>
    <row r="395" spans="1:14" x14ac:dyDescent="0.25">
      <c r="A395" s="534">
        <v>372</v>
      </c>
      <c r="B395" s="108" t="s">
        <v>85</v>
      </c>
      <c r="C395" s="121" t="s">
        <v>1</v>
      </c>
      <c r="D395" s="110"/>
      <c r="E395" s="15">
        <f>Расч.!J117*0.22</f>
        <v>15.87</v>
      </c>
      <c r="F395" s="537">
        <f t="shared" ref="F395:F396" si="236">G395+H395</f>
        <v>0</v>
      </c>
      <c r="G395" s="538"/>
      <c r="H395" s="537"/>
      <c r="I395" s="537">
        <f t="shared" ref="I395:I396" si="237">J395+K395</f>
        <v>0</v>
      </c>
      <c r="J395" s="539">
        <f>G395*E395</f>
        <v>0</v>
      </c>
      <c r="K395" s="537"/>
      <c r="L395" s="122"/>
      <c r="N395" s="10"/>
    </row>
    <row r="396" spans="1:14" ht="31.5" x14ac:dyDescent="0.25">
      <c r="A396" s="198">
        <v>373</v>
      </c>
      <c r="B396" s="74" t="s">
        <v>257</v>
      </c>
      <c r="C396" s="104" t="s">
        <v>27</v>
      </c>
      <c r="D396" s="105">
        <v>1.1000000000000001</v>
      </c>
      <c r="E396" s="11">
        <f>E395*0.1*D396</f>
        <v>1.75</v>
      </c>
      <c r="F396" s="11">
        <f t="shared" si="236"/>
        <v>0</v>
      </c>
      <c r="G396" s="11"/>
      <c r="H396" s="540"/>
      <c r="I396" s="11">
        <f t="shared" si="237"/>
        <v>0</v>
      </c>
      <c r="J396" s="11"/>
      <c r="K396" s="11">
        <f>H396*E396</f>
        <v>0</v>
      </c>
      <c r="L396" s="48" t="s">
        <v>15</v>
      </c>
      <c r="N396" s="10"/>
    </row>
    <row r="397" spans="1:14" ht="47.25" x14ac:dyDescent="0.25">
      <c r="A397" s="534">
        <v>374</v>
      </c>
      <c r="B397" s="49" t="s">
        <v>82</v>
      </c>
      <c r="C397" s="125" t="s">
        <v>1</v>
      </c>
      <c r="D397" s="50"/>
      <c r="E397" s="15">
        <f>Расч.!I27</f>
        <v>325.33</v>
      </c>
      <c r="F397" s="537">
        <f t="shared" ref="F397:F399" si="238">G397+H397</f>
        <v>0</v>
      </c>
      <c r="G397" s="538"/>
      <c r="H397" s="537"/>
      <c r="I397" s="537">
        <f t="shared" ref="I397:I399" si="239">J397+K397</f>
        <v>0</v>
      </c>
      <c r="J397" s="539">
        <f>G397*E397</f>
        <v>0</v>
      </c>
      <c r="K397" s="537"/>
      <c r="L397" s="51"/>
      <c r="N397" s="10"/>
    </row>
    <row r="398" spans="1:14" x14ac:dyDescent="0.25">
      <c r="A398" s="198">
        <v>375</v>
      </c>
      <c r="B398" s="55" t="s">
        <v>26</v>
      </c>
      <c r="C398" s="53" t="s">
        <v>27</v>
      </c>
      <c r="D398" s="56">
        <v>1.0149999999999999</v>
      </c>
      <c r="E398" s="11">
        <f>Расч.!J28*D398</f>
        <v>53.94</v>
      </c>
      <c r="F398" s="11">
        <f t="shared" si="238"/>
        <v>0</v>
      </c>
      <c r="G398" s="11"/>
      <c r="H398" s="540"/>
      <c r="I398" s="11">
        <f t="shared" si="239"/>
        <v>0</v>
      </c>
      <c r="J398" s="11"/>
      <c r="K398" s="11">
        <f>H398*E398</f>
        <v>0</v>
      </c>
      <c r="L398" s="48" t="s">
        <v>15</v>
      </c>
      <c r="N398" s="10"/>
    </row>
    <row r="399" spans="1:14" x14ac:dyDescent="0.25">
      <c r="A399" s="198">
        <v>376</v>
      </c>
      <c r="B399" s="55" t="s">
        <v>37</v>
      </c>
      <c r="C399" s="53" t="s">
        <v>1</v>
      </c>
      <c r="D399" s="54">
        <v>1.2</v>
      </c>
      <c r="E399" s="11">
        <f>E397*D399</f>
        <v>390.4</v>
      </c>
      <c r="F399" s="11">
        <f t="shared" si="238"/>
        <v>0</v>
      </c>
      <c r="G399" s="11"/>
      <c r="H399" s="540"/>
      <c r="I399" s="11">
        <f t="shared" si="239"/>
        <v>0</v>
      </c>
      <c r="J399" s="11"/>
      <c r="K399" s="11">
        <f>H399*E399</f>
        <v>0</v>
      </c>
      <c r="L399" s="57" t="s">
        <v>15</v>
      </c>
      <c r="N399" s="10"/>
    </row>
    <row r="400" spans="1:14" ht="31.5" x14ac:dyDescent="0.25">
      <c r="A400" s="534">
        <v>377</v>
      </c>
      <c r="B400" s="49" t="s">
        <v>179</v>
      </c>
      <c r="C400" s="125" t="s">
        <v>30</v>
      </c>
      <c r="D400" s="133"/>
      <c r="E400" s="15">
        <f>Расч.!E28</f>
        <v>124.3</v>
      </c>
      <c r="F400" s="537">
        <f t="shared" ref="F400:F401" si="240">G400+H400</f>
        <v>0</v>
      </c>
      <c r="G400" s="538"/>
      <c r="H400" s="537"/>
      <c r="I400" s="537">
        <f t="shared" ref="I400:I401" si="241">J400+K400</f>
        <v>0</v>
      </c>
      <c r="J400" s="539">
        <f>G400*E400</f>
        <v>0</v>
      </c>
      <c r="K400" s="537"/>
      <c r="L400" s="51"/>
      <c r="N400" s="10"/>
    </row>
    <row r="401" spans="1:14" x14ac:dyDescent="0.25">
      <c r="A401" s="198">
        <v>378</v>
      </c>
      <c r="B401" s="138" t="s">
        <v>26</v>
      </c>
      <c r="C401" s="102" t="s">
        <v>27</v>
      </c>
      <c r="D401" s="137">
        <v>5.0000000000000001E-3</v>
      </c>
      <c r="E401" s="11">
        <f>D401*E400</f>
        <v>0.62</v>
      </c>
      <c r="F401" s="11">
        <f t="shared" si="240"/>
        <v>0</v>
      </c>
      <c r="G401" s="11"/>
      <c r="H401" s="540"/>
      <c r="I401" s="11">
        <f t="shared" si="241"/>
        <v>0</v>
      </c>
      <c r="J401" s="11"/>
      <c r="K401" s="11">
        <f>H401*E401</f>
        <v>0</v>
      </c>
      <c r="L401" s="48" t="s">
        <v>15</v>
      </c>
      <c r="N401" s="10"/>
    </row>
    <row r="402" spans="1:14" ht="47.25" x14ac:dyDescent="0.25">
      <c r="A402" s="534">
        <v>379</v>
      </c>
      <c r="B402" s="49" t="s">
        <v>83</v>
      </c>
      <c r="C402" s="125" t="s">
        <v>1</v>
      </c>
      <c r="D402" s="50"/>
      <c r="E402" s="15">
        <f>Расч.!E25+Расч.!E28*0.3</f>
        <v>369.83</v>
      </c>
      <c r="F402" s="537">
        <f t="shared" ref="F402:F403" si="242">G402+H402</f>
        <v>0</v>
      </c>
      <c r="G402" s="538"/>
      <c r="H402" s="537"/>
      <c r="I402" s="537">
        <f t="shared" ref="I402:I403" si="243">J402+K402</f>
        <v>0</v>
      </c>
      <c r="J402" s="539">
        <f>G402*E402</f>
        <v>0</v>
      </c>
      <c r="K402" s="537"/>
      <c r="L402" s="51"/>
      <c r="N402" s="10"/>
    </row>
    <row r="403" spans="1:14" ht="31.5" x14ac:dyDescent="0.25">
      <c r="A403" s="198">
        <v>380</v>
      </c>
      <c r="B403" s="55" t="s">
        <v>84</v>
      </c>
      <c r="C403" s="53" t="s">
        <v>25</v>
      </c>
      <c r="D403" s="54">
        <v>0.35</v>
      </c>
      <c r="E403" s="11">
        <f>E402*D403</f>
        <v>129.44</v>
      </c>
      <c r="F403" s="11">
        <f t="shared" si="242"/>
        <v>0</v>
      </c>
      <c r="G403" s="11"/>
      <c r="H403" s="540"/>
      <c r="I403" s="11">
        <f t="shared" si="243"/>
        <v>0</v>
      </c>
      <c r="J403" s="11"/>
      <c r="K403" s="11">
        <f>H403*E403</f>
        <v>0</v>
      </c>
      <c r="L403" s="57" t="s">
        <v>15</v>
      </c>
      <c r="N403" s="10"/>
    </row>
    <row r="404" spans="1:14" ht="31.5" x14ac:dyDescent="0.25">
      <c r="A404" s="534">
        <v>381</v>
      </c>
      <c r="B404" s="49" t="s">
        <v>58</v>
      </c>
      <c r="C404" s="125" t="s">
        <v>1</v>
      </c>
      <c r="D404" s="50"/>
      <c r="E404" s="15">
        <f>Расч.!E25</f>
        <v>332.54</v>
      </c>
      <c r="F404" s="537">
        <f t="shared" ref="F404:F407" si="244">G404+H404</f>
        <v>0</v>
      </c>
      <c r="G404" s="538"/>
      <c r="H404" s="537"/>
      <c r="I404" s="537">
        <f t="shared" ref="I404:I407" si="245">J404+K404</f>
        <v>0</v>
      </c>
      <c r="J404" s="539">
        <f>G404*E404</f>
        <v>0</v>
      </c>
      <c r="K404" s="537"/>
      <c r="L404" s="51"/>
      <c r="N404" s="10"/>
    </row>
    <row r="405" spans="1:14" x14ac:dyDescent="0.25">
      <c r="A405" s="198">
        <v>382</v>
      </c>
      <c r="B405" s="341" t="s">
        <v>68</v>
      </c>
      <c r="C405" s="328" t="s">
        <v>1</v>
      </c>
      <c r="D405" s="329">
        <v>1.1599999999999999</v>
      </c>
      <c r="E405" s="11">
        <f>E404*D405</f>
        <v>385.75</v>
      </c>
      <c r="F405" s="11">
        <f t="shared" si="244"/>
        <v>0</v>
      </c>
      <c r="G405" s="11"/>
      <c r="H405" s="540"/>
      <c r="I405" s="11">
        <f t="shared" si="245"/>
        <v>0</v>
      </c>
      <c r="J405" s="11"/>
      <c r="K405" s="11">
        <f>H405*E405</f>
        <v>0</v>
      </c>
      <c r="L405" s="57" t="s">
        <v>15</v>
      </c>
      <c r="N405" s="10"/>
    </row>
    <row r="406" spans="1:14" x14ac:dyDescent="0.25">
      <c r="A406" s="198">
        <v>383</v>
      </c>
      <c r="B406" s="341" t="s">
        <v>219</v>
      </c>
      <c r="C406" s="328" t="s">
        <v>1</v>
      </c>
      <c r="D406" s="329">
        <v>1.1399999999999999</v>
      </c>
      <c r="E406" s="11">
        <f>E404*D406</f>
        <v>379.1</v>
      </c>
      <c r="F406" s="11">
        <f t="shared" si="244"/>
        <v>0</v>
      </c>
      <c r="G406" s="11"/>
      <c r="H406" s="540"/>
      <c r="I406" s="11">
        <f t="shared" si="245"/>
        <v>0</v>
      </c>
      <c r="J406" s="11"/>
      <c r="K406" s="11">
        <f>H406*E406</f>
        <v>0</v>
      </c>
      <c r="L406" s="57" t="s">
        <v>15</v>
      </c>
      <c r="N406" s="10"/>
    </row>
    <row r="407" spans="1:14" x14ac:dyDescent="0.25">
      <c r="A407" s="198">
        <v>384</v>
      </c>
      <c r="B407" s="341" t="s">
        <v>28</v>
      </c>
      <c r="C407" s="346" t="s">
        <v>3</v>
      </c>
      <c r="D407" s="347">
        <v>0.6</v>
      </c>
      <c r="E407" s="11">
        <f>E404*D407</f>
        <v>199.52</v>
      </c>
      <c r="F407" s="11">
        <f t="shared" si="244"/>
        <v>0</v>
      </c>
      <c r="G407" s="11"/>
      <c r="H407" s="540"/>
      <c r="I407" s="11">
        <f t="shared" si="245"/>
        <v>0</v>
      </c>
      <c r="J407" s="11"/>
      <c r="K407" s="11">
        <f>H407*E407</f>
        <v>0</v>
      </c>
      <c r="L407" s="106" t="s">
        <v>15</v>
      </c>
      <c r="N407" s="10"/>
    </row>
    <row r="408" spans="1:14" ht="31.5" x14ac:dyDescent="0.25">
      <c r="A408" s="534">
        <v>385</v>
      </c>
      <c r="B408" s="49" t="s">
        <v>35</v>
      </c>
      <c r="C408" s="125" t="s">
        <v>30</v>
      </c>
      <c r="D408" s="50"/>
      <c r="E408" s="15">
        <f>Расч.!E28</f>
        <v>124.3</v>
      </c>
      <c r="F408" s="537">
        <f t="shared" ref="F408:F415" si="246">G408+H408</f>
        <v>0</v>
      </c>
      <c r="G408" s="538"/>
      <c r="H408" s="537"/>
      <c r="I408" s="537">
        <f t="shared" ref="I408:I415" si="247">J408+K408</f>
        <v>0</v>
      </c>
      <c r="J408" s="539">
        <f>G408*E408</f>
        <v>0</v>
      </c>
      <c r="K408" s="537"/>
      <c r="L408" s="51"/>
      <c r="N408" s="10"/>
    </row>
    <row r="409" spans="1:14" x14ac:dyDescent="0.25">
      <c r="A409" s="198">
        <v>386</v>
      </c>
      <c r="B409" s="341" t="s">
        <v>68</v>
      </c>
      <c r="C409" s="328" t="s">
        <v>1</v>
      </c>
      <c r="D409" s="329">
        <v>1.1599999999999999</v>
      </c>
      <c r="E409" s="11">
        <f>E408*0.5*D409</f>
        <v>72.09</v>
      </c>
      <c r="F409" s="11">
        <f t="shared" si="246"/>
        <v>0</v>
      </c>
      <c r="G409" s="11"/>
      <c r="H409" s="540"/>
      <c r="I409" s="11">
        <f t="shared" si="247"/>
        <v>0</v>
      </c>
      <c r="J409" s="11"/>
      <c r="K409" s="11">
        <f>H409*E409</f>
        <v>0</v>
      </c>
      <c r="L409" s="48" t="s">
        <v>15</v>
      </c>
      <c r="N409" s="10"/>
    </row>
    <row r="410" spans="1:14" x14ac:dyDescent="0.25">
      <c r="A410" s="198">
        <v>387</v>
      </c>
      <c r="B410" s="341" t="s">
        <v>219</v>
      </c>
      <c r="C410" s="328" t="s">
        <v>1</v>
      </c>
      <c r="D410" s="329">
        <v>1.1399999999999999</v>
      </c>
      <c r="E410" s="11">
        <f>E408*0.4*D410</f>
        <v>56.68</v>
      </c>
      <c r="F410" s="11">
        <f t="shared" si="246"/>
        <v>0</v>
      </c>
      <c r="G410" s="11"/>
      <c r="H410" s="540"/>
      <c r="I410" s="11">
        <f t="shared" si="247"/>
        <v>0</v>
      </c>
      <c r="J410" s="11"/>
      <c r="K410" s="11">
        <f>H410*E410</f>
        <v>0</v>
      </c>
      <c r="L410" s="48" t="s">
        <v>15</v>
      </c>
      <c r="N410" s="10"/>
    </row>
    <row r="411" spans="1:14" x14ac:dyDescent="0.25">
      <c r="A411" s="198">
        <v>388</v>
      </c>
      <c r="B411" s="341" t="s">
        <v>86</v>
      </c>
      <c r="C411" s="328" t="s">
        <v>1</v>
      </c>
      <c r="D411" s="329">
        <v>1.1399999999999999</v>
      </c>
      <c r="E411" s="11">
        <f>E408*0.25*D411</f>
        <v>35.43</v>
      </c>
      <c r="F411" s="11">
        <f t="shared" si="246"/>
        <v>0</v>
      </c>
      <c r="G411" s="11"/>
      <c r="H411" s="540"/>
      <c r="I411" s="11">
        <f t="shared" si="247"/>
        <v>0</v>
      </c>
      <c r="J411" s="11"/>
      <c r="K411" s="11">
        <f>H411*E411</f>
        <v>0</v>
      </c>
      <c r="L411" s="106" t="s">
        <v>15</v>
      </c>
      <c r="N411" s="10"/>
    </row>
    <row r="412" spans="1:14" x14ac:dyDescent="0.25">
      <c r="A412" s="198">
        <v>389</v>
      </c>
      <c r="B412" s="341" t="s">
        <v>28</v>
      </c>
      <c r="C412" s="346" t="s">
        <v>3</v>
      </c>
      <c r="D412" s="329">
        <v>0.6</v>
      </c>
      <c r="E412" s="11">
        <f>E408*D412</f>
        <v>74.58</v>
      </c>
      <c r="F412" s="11">
        <f t="shared" si="246"/>
        <v>0</v>
      </c>
      <c r="G412" s="11"/>
      <c r="H412" s="540"/>
      <c r="I412" s="11">
        <f t="shared" si="247"/>
        <v>0</v>
      </c>
      <c r="J412" s="11"/>
      <c r="K412" s="11">
        <f>H412*E412</f>
        <v>0</v>
      </c>
      <c r="L412" s="106" t="s">
        <v>15</v>
      </c>
      <c r="N412" s="10"/>
    </row>
    <row r="413" spans="1:14" ht="31.5" x14ac:dyDescent="0.25">
      <c r="A413" s="198">
        <v>390</v>
      </c>
      <c r="B413" s="55" t="s">
        <v>43</v>
      </c>
      <c r="C413" s="58" t="s">
        <v>2</v>
      </c>
      <c r="D413" s="54">
        <v>1.03</v>
      </c>
      <c r="E413" s="11">
        <f>E408*D413</f>
        <v>128.03</v>
      </c>
      <c r="F413" s="11">
        <f t="shared" si="246"/>
        <v>0</v>
      </c>
      <c r="G413" s="11"/>
      <c r="H413" s="540"/>
      <c r="I413" s="11">
        <f t="shared" si="247"/>
        <v>0</v>
      </c>
      <c r="J413" s="11"/>
      <c r="K413" s="11">
        <f>H413*E413</f>
        <v>0</v>
      </c>
      <c r="L413" s="48" t="s">
        <v>15</v>
      </c>
      <c r="N413" s="10"/>
    </row>
    <row r="414" spans="1:14" x14ac:dyDescent="0.25">
      <c r="A414" s="198">
        <v>391</v>
      </c>
      <c r="B414" s="55" t="s">
        <v>31</v>
      </c>
      <c r="C414" s="59" t="s">
        <v>0</v>
      </c>
      <c r="D414" s="54">
        <v>5</v>
      </c>
      <c r="E414" s="11">
        <f>ROUND(E408*D414,0)</f>
        <v>622</v>
      </c>
      <c r="F414" s="11">
        <f t="shared" si="246"/>
        <v>0</v>
      </c>
      <c r="G414" s="11"/>
      <c r="H414" s="540"/>
      <c r="I414" s="11">
        <f t="shared" si="247"/>
        <v>0</v>
      </c>
      <c r="J414" s="11"/>
      <c r="K414" s="11">
        <f>H414*E414</f>
        <v>0</v>
      </c>
      <c r="L414" s="48" t="s">
        <v>15</v>
      </c>
      <c r="N414" s="10"/>
    </row>
    <row r="415" spans="1:14" ht="31.5" x14ac:dyDescent="0.25">
      <c r="A415" s="198">
        <v>392</v>
      </c>
      <c r="B415" s="55" t="s">
        <v>69</v>
      </c>
      <c r="C415" s="60" t="s">
        <v>0</v>
      </c>
      <c r="D415" s="54">
        <v>0.15</v>
      </c>
      <c r="E415" s="11">
        <f>ROUND(E408*D415,0)</f>
        <v>19</v>
      </c>
      <c r="F415" s="11">
        <f t="shared" si="246"/>
        <v>0</v>
      </c>
      <c r="G415" s="11"/>
      <c r="H415" s="540"/>
      <c r="I415" s="11">
        <f t="shared" si="247"/>
        <v>0</v>
      </c>
      <c r="J415" s="11"/>
      <c r="K415" s="11">
        <f>H415*E415</f>
        <v>0</v>
      </c>
      <c r="L415" s="48" t="s">
        <v>15</v>
      </c>
      <c r="N415" s="10"/>
    </row>
    <row r="416" spans="1:14" x14ac:dyDescent="0.25">
      <c r="A416" s="534">
        <v>393</v>
      </c>
      <c r="B416" s="49" t="s">
        <v>32</v>
      </c>
      <c r="C416" s="125" t="s">
        <v>0</v>
      </c>
      <c r="D416" s="50"/>
      <c r="E416" s="15">
        <v>2</v>
      </c>
      <c r="F416" s="537">
        <f t="shared" ref="F416:F417" si="248">G416+H416</f>
        <v>0</v>
      </c>
      <c r="G416" s="538"/>
      <c r="H416" s="537"/>
      <c r="I416" s="537">
        <f t="shared" ref="I416:I417" si="249">J416+K416</f>
        <v>0</v>
      </c>
      <c r="J416" s="539">
        <f>G416*E416</f>
        <v>0</v>
      </c>
      <c r="K416" s="537"/>
      <c r="L416" s="51"/>
      <c r="N416" s="10"/>
    </row>
    <row r="417" spans="1:14" ht="63" x14ac:dyDescent="0.25">
      <c r="A417" s="198">
        <v>394</v>
      </c>
      <c r="B417" s="341" t="s">
        <v>220</v>
      </c>
      <c r="C417" s="53" t="s">
        <v>0</v>
      </c>
      <c r="D417" s="54">
        <v>1</v>
      </c>
      <c r="E417" s="11">
        <f>E416</f>
        <v>2</v>
      </c>
      <c r="F417" s="11">
        <f t="shared" si="248"/>
        <v>0</v>
      </c>
      <c r="G417" s="11"/>
      <c r="H417" s="540"/>
      <c r="I417" s="11">
        <f t="shared" si="249"/>
        <v>0</v>
      </c>
      <c r="J417" s="11"/>
      <c r="K417" s="11">
        <f>H417*E417</f>
        <v>0</v>
      </c>
      <c r="L417" s="48" t="s">
        <v>15</v>
      </c>
      <c r="N417" s="10"/>
    </row>
    <row r="418" spans="1:14" x14ac:dyDescent="0.25">
      <c r="A418" s="534">
        <v>395</v>
      </c>
      <c r="B418" s="49" t="s">
        <v>52</v>
      </c>
      <c r="C418" s="125" t="s">
        <v>0</v>
      </c>
      <c r="D418" s="50"/>
      <c r="E418" s="15">
        <v>3</v>
      </c>
      <c r="F418" s="537">
        <f t="shared" ref="F418:F419" si="250">G418+H418</f>
        <v>0</v>
      </c>
      <c r="G418" s="538"/>
      <c r="H418" s="537"/>
      <c r="I418" s="537">
        <f t="shared" ref="I418:I419" si="251">J418+K418</f>
        <v>0</v>
      </c>
      <c r="J418" s="539">
        <f>G418*E418</f>
        <v>0</v>
      </c>
      <c r="K418" s="537"/>
      <c r="L418" s="51"/>
      <c r="N418" s="10"/>
    </row>
    <row r="419" spans="1:14" x14ac:dyDescent="0.25">
      <c r="A419" s="198">
        <v>396</v>
      </c>
      <c r="B419" s="341" t="s">
        <v>236</v>
      </c>
      <c r="C419" s="53" t="s">
        <v>0</v>
      </c>
      <c r="D419" s="54">
        <v>1</v>
      </c>
      <c r="E419" s="11">
        <f>E418*D419</f>
        <v>3</v>
      </c>
      <c r="F419" s="11">
        <f t="shared" si="250"/>
        <v>0</v>
      </c>
      <c r="G419" s="11"/>
      <c r="H419" s="540"/>
      <c r="I419" s="11">
        <f t="shared" si="251"/>
        <v>0</v>
      </c>
      <c r="J419" s="11"/>
      <c r="K419" s="11">
        <f>H419*E419</f>
        <v>0</v>
      </c>
      <c r="L419" s="48" t="s">
        <v>15</v>
      </c>
      <c r="N419" s="10"/>
    </row>
    <row r="420" spans="1:14" ht="31.5" x14ac:dyDescent="0.25">
      <c r="A420" s="534">
        <v>397</v>
      </c>
      <c r="B420" s="49" t="s">
        <v>62</v>
      </c>
      <c r="C420" s="125" t="s">
        <v>0</v>
      </c>
      <c r="D420" s="50"/>
      <c r="E420" s="15">
        <v>8</v>
      </c>
      <c r="F420" s="537">
        <f t="shared" ref="F420:F423" si="252">G420+H420</f>
        <v>0</v>
      </c>
      <c r="G420" s="538"/>
      <c r="H420" s="537"/>
      <c r="I420" s="537">
        <f t="shared" ref="I420:I423" si="253">J420+K420</f>
        <v>0</v>
      </c>
      <c r="J420" s="539">
        <f>G420*E420</f>
        <v>0</v>
      </c>
      <c r="K420" s="537"/>
      <c r="L420" s="51"/>
      <c r="N420" s="10"/>
    </row>
    <row r="421" spans="1:14" ht="31.5" x14ac:dyDescent="0.25">
      <c r="A421" s="198">
        <v>398</v>
      </c>
      <c r="B421" s="55" t="s">
        <v>69</v>
      </c>
      <c r="C421" s="53" t="s">
        <v>0</v>
      </c>
      <c r="D421" s="54">
        <v>0.15</v>
      </c>
      <c r="E421" s="11">
        <f>ROUNDUP(D421*E420,0)</f>
        <v>2</v>
      </c>
      <c r="F421" s="11">
        <f t="shared" si="252"/>
        <v>0</v>
      </c>
      <c r="G421" s="11"/>
      <c r="H421" s="540"/>
      <c r="I421" s="11">
        <f t="shared" si="253"/>
        <v>0</v>
      </c>
      <c r="J421" s="11"/>
      <c r="K421" s="11">
        <f>H421*E421</f>
        <v>0</v>
      </c>
      <c r="L421" s="48" t="s">
        <v>15</v>
      </c>
      <c r="N421" s="10"/>
    </row>
    <row r="422" spans="1:14" ht="31.5" x14ac:dyDescent="0.25">
      <c r="A422" s="198">
        <v>399</v>
      </c>
      <c r="B422" s="55" t="s">
        <v>66</v>
      </c>
      <c r="C422" s="53" t="s">
        <v>0</v>
      </c>
      <c r="D422" s="54">
        <v>1</v>
      </c>
      <c r="E422" s="11">
        <f>E420</f>
        <v>8</v>
      </c>
      <c r="F422" s="11">
        <f t="shared" si="252"/>
        <v>0</v>
      </c>
      <c r="G422" s="11"/>
      <c r="H422" s="540"/>
      <c r="I422" s="11">
        <f t="shared" si="253"/>
        <v>0</v>
      </c>
      <c r="J422" s="11"/>
      <c r="K422" s="11">
        <f>H422*E422</f>
        <v>0</v>
      </c>
      <c r="L422" s="48" t="s">
        <v>15</v>
      </c>
      <c r="N422" s="10"/>
    </row>
    <row r="423" spans="1:14" x14ac:dyDescent="0.25">
      <c r="A423" s="198">
        <v>400</v>
      </c>
      <c r="B423" s="107" t="s">
        <v>87</v>
      </c>
      <c r="C423" s="53" t="s">
        <v>0</v>
      </c>
      <c r="D423" s="54">
        <v>1</v>
      </c>
      <c r="E423" s="11">
        <f>E420*D423</f>
        <v>8</v>
      </c>
      <c r="F423" s="11">
        <f t="shared" si="252"/>
        <v>0</v>
      </c>
      <c r="G423" s="11"/>
      <c r="H423" s="540"/>
      <c r="I423" s="11">
        <f t="shared" si="253"/>
        <v>0</v>
      </c>
      <c r="J423" s="11"/>
      <c r="K423" s="11">
        <f>H423*E423</f>
        <v>0</v>
      </c>
      <c r="L423" s="48" t="s">
        <v>15</v>
      </c>
      <c r="N423" s="10"/>
    </row>
    <row r="424" spans="1:14" ht="31.5" x14ac:dyDescent="0.25">
      <c r="A424" s="534">
        <v>401</v>
      </c>
      <c r="B424" s="49" t="s">
        <v>88</v>
      </c>
      <c r="C424" s="125" t="s">
        <v>0</v>
      </c>
      <c r="D424" s="50"/>
      <c r="E424" s="15">
        <v>4</v>
      </c>
      <c r="F424" s="537">
        <f t="shared" ref="F424:F427" si="254">G424+H424</f>
        <v>0</v>
      </c>
      <c r="G424" s="538"/>
      <c r="H424" s="537"/>
      <c r="I424" s="537">
        <f t="shared" ref="I424:I427" si="255">J424+K424</f>
        <v>0</v>
      </c>
      <c r="J424" s="539">
        <f>G424*E424</f>
        <v>0</v>
      </c>
      <c r="K424" s="537"/>
      <c r="L424" s="51"/>
      <c r="N424" s="10"/>
    </row>
    <row r="425" spans="1:14" x14ac:dyDescent="0.25">
      <c r="A425" s="198">
        <v>402</v>
      </c>
      <c r="B425" s="107" t="s">
        <v>89</v>
      </c>
      <c r="C425" s="104" t="s">
        <v>0</v>
      </c>
      <c r="D425" s="105">
        <v>1</v>
      </c>
      <c r="E425" s="11">
        <f>E424*D425</f>
        <v>4</v>
      </c>
      <c r="F425" s="11">
        <f t="shared" si="254"/>
        <v>0</v>
      </c>
      <c r="G425" s="11"/>
      <c r="H425" s="540"/>
      <c r="I425" s="11">
        <f t="shared" si="255"/>
        <v>0</v>
      </c>
      <c r="J425" s="11"/>
      <c r="K425" s="11">
        <f>H425*E425</f>
        <v>0</v>
      </c>
      <c r="L425" s="48" t="s">
        <v>15</v>
      </c>
      <c r="N425" s="10"/>
    </row>
    <row r="426" spans="1:14" x14ac:dyDescent="0.25">
      <c r="A426" s="198">
        <v>403</v>
      </c>
      <c r="B426" s="107" t="s">
        <v>87</v>
      </c>
      <c r="C426" s="104" t="s">
        <v>0</v>
      </c>
      <c r="D426" s="105">
        <v>1</v>
      </c>
      <c r="E426" s="11">
        <f>E424*D426</f>
        <v>4</v>
      </c>
      <c r="F426" s="11">
        <f t="shared" si="254"/>
        <v>0</v>
      </c>
      <c r="G426" s="11"/>
      <c r="H426" s="540"/>
      <c r="I426" s="11">
        <f t="shared" si="255"/>
        <v>0</v>
      </c>
      <c r="J426" s="11"/>
      <c r="K426" s="11">
        <f>H426*E426</f>
        <v>0</v>
      </c>
      <c r="L426" s="48" t="s">
        <v>15</v>
      </c>
      <c r="N426" s="10"/>
    </row>
    <row r="427" spans="1:14" ht="31.5" x14ac:dyDescent="0.25">
      <c r="A427" s="198">
        <v>404</v>
      </c>
      <c r="B427" s="107" t="s">
        <v>90</v>
      </c>
      <c r="C427" s="104" t="s">
        <v>0</v>
      </c>
      <c r="D427" s="105">
        <v>0.15</v>
      </c>
      <c r="E427" s="11">
        <f>ROUNDUP(E424*D427,0)</f>
        <v>1</v>
      </c>
      <c r="F427" s="11">
        <f t="shared" si="254"/>
        <v>0</v>
      </c>
      <c r="G427" s="11"/>
      <c r="H427" s="540"/>
      <c r="I427" s="11">
        <f t="shared" si="255"/>
        <v>0</v>
      </c>
      <c r="J427" s="11"/>
      <c r="K427" s="11">
        <f>H427*E427</f>
        <v>0</v>
      </c>
      <c r="L427" s="48" t="s">
        <v>15</v>
      </c>
      <c r="N427" s="10"/>
    </row>
    <row r="428" spans="1:14" ht="31.5" x14ac:dyDescent="0.25">
      <c r="A428" s="534">
        <v>405</v>
      </c>
      <c r="B428" s="145" t="s">
        <v>117</v>
      </c>
      <c r="C428" s="126" t="s">
        <v>30</v>
      </c>
      <c r="D428" s="79"/>
      <c r="E428" s="80">
        <f>Расч.!P118</f>
        <v>14.15</v>
      </c>
      <c r="F428" s="537">
        <f t="shared" ref="F428:F433" si="256">G428+H428</f>
        <v>0</v>
      </c>
      <c r="G428" s="538"/>
      <c r="H428" s="537"/>
      <c r="I428" s="537">
        <f t="shared" ref="I428:I433" si="257">J428+K428</f>
        <v>0</v>
      </c>
      <c r="J428" s="539">
        <f>G428*E428</f>
        <v>0</v>
      </c>
      <c r="K428" s="537"/>
      <c r="L428" s="81"/>
      <c r="N428" s="10"/>
    </row>
    <row r="429" spans="1:14" x14ac:dyDescent="0.25">
      <c r="A429" s="198">
        <v>406</v>
      </c>
      <c r="B429" s="116" t="s">
        <v>31</v>
      </c>
      <c r="C429" s="82" t="s">
        <v>0</v>
      </c>
      <c r="D429" s="83">
        <v>5</v>
      </c>
      <c r="E429" s="84">
        <f>ROUND(E428*D429,0)</f>
        <v>71</v>
      </c>
      <c r="F429" s="11">
        <f t="shared" si="256"/>
        <v>0</v>
      </c>
      <c r="G429" s="11"/>
      <c r="H429" s="540"/>
      <c r="I429" s="11">
        <f t="shared" si="257"/>
        <v>0</v>
      </c>
      <c r="J429" s="11"/>
      <c r="K429" s="11">
        <f>H429*E429</f>
        <v>0</v>
      </c>
      <c r="L429" s="85" t="s">
        <v>36</v>
      </c>
      <c r="N429" s="10"/>
    </row>
    <row r="430" spans="1:14" ht="47.25" x14ac:dyDescent="0.25">
      <c r="A430" s="198">
        <v>407</v>
      </c>
      <c r="B430" s="348" t="s">
        <v>221</v>
      </c>
      <c r="C430" s="86" t="s">
        <v>2</v>
      </c>
      <c r="D430" s="83">
        <v>1.1000000000000001</v>
      </c>
      <c r="E430" s="84">
        <f>ROUND(E428*D430,2)</f>
        <v>15.57</v>
      </c>
      <c r="F430" s="11">
        <f t="shared" si="256"/>
        <v>0</v>
      </c>
      <c r="G430" s="11"/>
      <c r="H430" s="540"/>
      <c r="I430" s="11">
        <f t="shared" si="257"/>
        <v>0</v>
      </c>
      <c r="J430" s="11"/>
      <c r="K430" s="11">
        <f>H430*E430</f>
        <v>0</v>
      </c>
      <c r="L430" s="85" t="s">
        <v>36</v>
      </c>
      <c r="N430" s="10"/>
    </row>
    <row r="431" spans="1:14" ht="31.5" x14ac:dyDescent="0.25">
      <c r="A431" s="198">
        <v>408</v>
      </c>
      <c r="B431" s="238" t="s">
        <v>180</v>
      </c>
      <c r="C431" s="86" t="s">
        <v>2</v>
      </c>
      <c r="D431" s="83">
        <v>1.1000000000000001</v>
      </c>
      <c r="E431" s="84">
        <f>ROUND(E428*D431,2)</f>
        <v>15.57</v>
      </c>
      <c r="F431" s="11">
        <f t="shared" si="256"/>
        <v>0</v>
      </c>
      <c r="G431" s="11"/>
      <c r="H431" s="540"/>
      <c r="I431" s="11">
        <f t="shared" si="257"/>
        <v>0</v>
      </c>
      <c r="J431" s="11"/>
      <c r="K431" s="11">
        <f>H431*E431</f>
        <v>0</v>
      </c>
      <c r="L431" s="85" t="s">
        <v>36</v>
      </c>
      <c r="N431" s="10"/>
    </row>
    <row r="432" spans="1:14" x14ac:dyDescent="0.25">
      <c r="A432" s="198">
        <v>409</v>
      </c>
      <c r="B432" s="116" t="s">
        <v>54</v>
      </c>
      <c r="C432" s="86" t="s">
        <v>27</v>
      </c>
      <c r="D432" s="237">
        <v>0.1</v>
      </c>
      <c r="E432" s="84">
        <f>E428*D432</f>
        <v>1.42</v>
      </c>
      <c r="F432" s="11">
        <f t="shared" si="256"/>
        <v>0</v>
      </c>
      <c r="G432" s="11"/>
      <c r="H432" s="540"/>
      <c r="I432" s="11">
        <f t="shared" si="257"/>
        <v>0</v>
      </c>
      <c r="J432" s="11"/>
      <c r="K432" s="11">
        <f>H432*E432</f>
        <v>0</v>
      </c>
      <c r="L432" s="85" t="s">
        <v>36</v>
      </c>
      <c r="N432" s="10"/>
    </row>
    <row r="433" spans="1:14" x14ac:dyDescent="0.25">
      <c r="A433" s="198">
        <v>410</v>
      </c>
      <c r="B433" s="87" t="s">
        <v>34</v>
      </c>
      <c r="C433" s="88" t="s">
        <v>0</v>
      </c>
      <c r="D433" s="62">
        <v>3.32</v>
      </c>
      <c r="E433" s="84">
        <f>ROUND(E428*D433,0)</f>
        <v>47</v>
      </c>
      <c r="F433" s="11">
        <f t="shared" si="256"/>
        <v>0</v>
      </c>
      <c r="G433" s="11"/>
      <c r="H433" s="540"/>
      <c r="I433" s="11">
        <f t="shared" si="257"/>
        <v>0</v>
      </c>
      <c r="J433" s="11"/>
      <c r="K433" s="11">
        <f>H433*E433</f>
        <v>0</v>
      </c>
      <c r="L433" s="85" t="s">
        <v>36</v>
      </c>
      <c r="N433" s="10"/>
    </row>
    <row r="434" spans="1:14" x14ac:dyDescent="0.25">
      <c r="A434" s="534">
        <v>411</v>
      </c>
      <c r="B434" s="49" t="s">
        <v>59</v>
      </c>
      <c r="C434" s="125" t="s">
        <v>30</v>
      </c>
      <c r="D434" s="50"/>
      <c r="E434" s="15">
        <f>Расч.!P117</f>
        <v>45.44</v>
      </c>
      <c r="F434" s="537">
        <f t="shared" ref="F434:F437" si="258">G434+H434</f>
        <v>0</v>
      </c>
      <c r="G434" s="538"/>
      <c r="H434" s="537"/>
      <c r="I434" s="537">
        <f t="shared" ref="I434:I437" si="259">J434+K434</f>
        <v>0</v>
      </c>
      <c r="J434" s="539">
        <f>G434*E434</f>
        <v>0</v>
      </c>
      <c r="K434" s="537"/>
      <c r="L434" s="51"/>
      <c r="N434" s="10"/>
    </row>
    <row r="435" spans="1:14" x14ac:dyDescent="0.25">
      <c r="A435" s="198">
        <v>412</v>
      </c>
      <c r="B435" s="55" t="s">
        <v>31</v>
      </c>
      <c r="C435" s="54" t="s">
        <v>0</v>
      </c>
      <c r="D435" s="54">
        <v>5</v>
      </c>
      <c r="E435" s="61">
        <f>ROUND(E434*D435,0)</f>
        <v>227</v>
      </c>
      <c r="F435" s="11">
        <f t="shared" si="258"/>
        <v>0</v>
      </c>
      <c r="G435" s="11"/>
      <c r="H435" s="540"/>
      <c r="I435" s="11">
        <f t="shared" si="259"/>
        <v>0</v>
      </c>
      <c r="J435" s="11"/>
      <c r="K435" s="11">
        <f>H435*E435</f>
        <v>0</v>
      </c>
      <c r="L435" s="85" t="s">
        <v>36</v>
      </c>
      <c r="N435" s="10"/>
    </row>
    <row r="436" spans="1:14" ht="47.25" x14ac:dyDescent="0.25">
      <c r="A436" s="198">
        <v>413</v>
      </c>
      <c r="B436" s="341" t="s">
        <v>139</v>
      </c>
      <c r="C436" s="53" t="s">
        <v>30</v>
      </c>
      <c r="D436" s="54">
        <v>1.1000000000000001</v>
      </c>
      <c r="E436" s="11">
        <f>E434*D436</f>
        <v>49.98</v>
      </c>
      <c r="F436" s="11">
        <f t="shared" si="258"/>
        <v>0</v>
      </c>
      <c r="G436" s="11"/>
      <c r="H436" s="540"/>
      <c r="I436" s="11">
        <f t="shared" si="259"/>
        <v>0</v>
      </c>
      <c r="J436" s="11"/>
      <c r="K436" s="11">
        <f>H436*E436</f>
        <v>0</v>
      </c>
      <c r="L436" s="57" t="s">
        <v>95</v>
      </c>
      <c r="N436" s="10"/>
    </row>
    <row r="437" spans="1:14" x14ac:dyDescent="0.25">
      <c r="A437" s="198">
        <v>414</v>
      </c>
      <c r="B437" s="55" t="s">
        <v>34</v>
      </c>
      <c r="C437" s="53" t="s">
        <v>0</v>
      </c>
      <c r="D437" s="54">
        <v>1.66</v>
      </c>
      <c r="E437" s="11">
        <f>ROUND(D437*E434,0)</f>
        <v>75</v>
      </c>
      <c r="F437" s="11">
        <f t="shared" si="258"/>
        <v>0</v>
      </c>
      <c r="G437" s="11"/>
      <c r="H437" s="540"/>
      <c r="I437" s="11">
        <f t="shared" si="259"/>
        <v>0</v>
      </c>
      <c r="J437" s="11"/>
      <c r="K437" s="11">
        <f>H437*E437</f>
        <v>0</v>
      </c>
      <c r="L437" s="48" t="s">
        <v>15</v>
      </c>
      <c r="N437" s="10"/>
    </row>
    <row r="438" spans="1:14" x14ac:dyDescent="0.25">
      <c r="A438" s="534">
        <v>415</v>
      </c>
      <c r="B438" s="349" t="s">
        <v>64</v>
      </c>
      <c r="C438" s="338" t="s">
        <v>30</v>
      </c>
      <c r="D438" s="339"/>
      <c r="E438" s="15">
        <f>Расч.!P119</f>
        <v>9.6999999999999993</v>
      </c>
      <c r="F438" s="537">
        <f t="shared" ref="F438:F441" si="260">G438+H438</f>
        <v>0</v>
      </c>
      <c r="G438" s="538"/>
      <c r="H438" s="537"/>
      <c r="I438" s="537">
        <f t="shared" ref="I438:I441" si="261">J438+K438</f>
        <v>0</v>
      </c>
      <c r="J438" s="539">
        <f>G438*E438</f>
        <v>0</v>
      </c>
      <c r="K438" s="537"/>
      <c r="L438" s="340"/>
      <c r="N438" s="10"/>
    </row>
    <row r="439" spans="1:14" ht="47.25" x14ac:dyDescent="0.25">
      <c r="A439" s="198">
        <v>416</v>
      </c>
      <c r="B439" s="341" t="s">
        <v>222</v>
      </c>
      <c r="C439" s="328" t="s">
        <v>2</v>
      </c>
      <c r="D439" s="329">
        <v>1.1000000000000001</v>
      </c>
      <c r="E439" s="11">
        <f>E438*D439</f>
        <v>10.67</v>
      </c>
      <c r="F439" s="11">
        <f t="shared" si="260"/>
        <v>0</v>
      </c>
      <c r="G439" s="11"/>
      <c r="H439" s="540"/>
      <c r="I439" s="11">
        <f t="shared" si="261"/>
        <v>0</v>
      </c>
      <c r="J439" s="11"/>
      <c r="K439" s="11">
        <f>H439*E439</f>
        <v>0</v>
      </c>
      <c r="L439" s="350" t="s">
        <v>223</v>
      </c>
      <c r="N439" s="10"/>
    </row>
    <row r="440" spans="1:14" x14ac:dyDescent="0.25">
      <c r="A440" s="198">
        <v>417</v>
      </c>
      <c r="B440" s="348" t="s">
        <v>31</v>
      </c>
      <c r="C440" s="351" t="s">
        <v>0</v>
      </c>
      <c r="D440" s="352">
        <v>5</v>
      </c>
      <c r="E440" s="11">
        <f>ROUND(D440*E438,0)</f>
        <v>49</v>
      </c>
      <c r="F440" s="11">
        <f t="shared" si="260"/>
        <v>0</v>
      </c>
      <c r="G440" s="11"/>
      <c r="H440" s="540"/>
      <c r="I440" s="11">
        <f t="shared" si="261"/>
        <v>0</v>
      </c>
      <c r="J440" s="11"/>
      <c r="K440" s="11">
        <f>H440*E440</f>
        <v>0</v>
      </c>
      <c r="L440" s="331" t="s">
        <v>15</v>
      </c>
      <c r="N440" s="10"/>
    </row>
    <row r="441" spans="1:14" x14ac:dyDescent="0.25">
      <c r="A441" s="198">
        <v>418</v>
      </c>
      <c r="B441" s="341" t="s">
        <v>26</v>
      </c>
      <c r="C441" s="328" t="s">
        <v>27</v>
      </c>
      <c r="D441" s="353">
        <v>1.0149999999999999</v>
      </c>
      <c r="E441" s="11">
        <f>E438*0.12*((0.03+0.01)/2)*D441</f>
        <v>0.02</v>
      </c>
      <c r="F441" s="11">
        <f t="shared" si="260"/>
        <v>0</v>
      </c>
      <c r="G441" s="11"/>
      <c r="H441" s="540"/>
      <c r="I441" s="11">
        <f t="shared" si="261"/>
        <v>0</v>
      </c>
      <c r="J441" s="11"/>
      <c r="K441" s="11">
        <f>H441*E441</f>
        <v>0</v>
      </c>
      <c r="L441" s="331" t="s">
        <v>15</v>
      </c>
      <c r="N441" s="10"/>
    </row>
    <row r="442" spans="1:14" x14ac:dyDescent="0.25">
      <c r="A442" s="344"/>
      <c r="B442" s="333" t="s">
        <v>63</v>
      </c>
      <c r="C442" s="354"/>
      <c r="D442" s="355"/>
      <c r="E442" s="355"/>
      <c r="F442" s="355"/>
      <c r="G442" s="355"/>
      <c r="H442" s="355"/>
      <c r="I442" s="355"/>
      <c r="J442" s="355"/>
      <c r="K442" s="355"/>
      <c r="L442" s="356"/>
      <c r="N442" s="10"/>
    </row>
    <row r="443" spans="1:14" ht="63" x14ac:dyDescent="0.25">
      <c r="A443" s="533">
        <v>419</v>
      </c>
      <c r="B443" s="337" t="s">
        <v>224</v>
      </c>
      <c r="C443" s="338" t="s">
        <v>0</v>
      </c>
      <c r="D443" s="339"/>
      <c r="E443" s="15">
        <v>1</v>
      </c>
      <c r="F443" s="537">
        <f t="shared" ref="F443:F444" si="262">G443+H443</f>
        <v>0</v>
      </c>
      <c r="G443" s="538"/>
      <c r="H443" s="537"/>
      <c r="I443" s="537">
        <f t="shared" ref="I443:I444" si="263">J443+K443</f>
        <v>0</v>
      </c>
      <c r="J443" s="539">
        <f>G443*E443</f>
        <v>0</v>
      </c>
      <c r="K443" s="537"/>
      <c r="L443" s="340"/>
      <c r="N443" s="10"/>
    </row>
    <row r="444" spans="1:14" x14ac:dyDescent="0.25">
      <c r="A444" s="332">
        <v>420</v>
      </c>
      <c r="B444" s="341" t="s">
        <v>225</v>
      </c>
      <c r="C444" s="357" t="s">
        <v>0</v>
      </c>
      <c r="D444" s="329">
        <v>1</v>
      </c>
      <c r="E444" s="297">
        <f>E443*D444</f>
        <v>1</v>
      </c>
      <c r="F444" s="11">
        <f t="shared" si="262"/>
        <v>0</v>
      </c>
      <c r="G444" s="11"/>
      <c r="H444" s="540"/>
      <c r="I444" s="11">
        <f t="shared" si="263"/>
        <v>0</v>
      </c>
      <c r="J444" s="11"/>
      <c r="K444" s="11">
        <f>H444*E444</f>
        <v>0</v>
      </c>
      <c r="L444" s="343" t="s">
        <v>226</v>
      </c>
      <c r="N444" s="10"/>
    </row>
    <row r="445" spans="1:14" ht="63" x14ac:dyDescent="0.25">
      <c r="A445" s="533">
        <v>421</v>
      </c>
      <c r="B445" s="337" t="s">
        <v>224</v>
      </c>
      <c r="C445" s="338" t="s">
        <v>0</v>
      </c>
      <c r="D445" s="339"/>
      <c r="E445" s="15">
        <v>4</v>
      </c>
      <c r="F445" s="537">
        <f t="shared" ref="F445:F446" si="264">G445+H445</f>
        <v>0</v>
      </c>
      <c r="G445" s="538"/>
      <c r="H445" s="537"/>
      <c r="I445" s="537">
        <f t="shared" ref="I445:I446" si="265">J445+K445</f>
        <v>0</v>
      </c>
      <c r="J445" s="539">
        <f>G445*E445</f>
        <v>0</v>
      </c>
      <c r="K445" s="537"/>
      <c r="L445" s="340"/>
      <c r="N445" s="10"/>
    </row>
    <row r="446" spans="1:14" x14ac:dyDescent="0.25">
      <c r="A446" s="332">
        <v>422</v>
      </c>
      <c r="B446" s="341" t="s">
        <v>227</v>
      </c>
      <c r="C446" s="357" t="s">
        <v>0</v>
      </c>
      <c r="D446" s="329">
        <v>1</v>
      </c>
      <c r="E446" s="297">
        <f>E445*D446</f>
        <v>4</v>
      </c>
      <c r="F446" s="11">
        <f t="shared" si="264"/>
        <v>0</v>
      </c>
      <c r="G446" s="11"/>
      <c r="H446" s="540"/>
      <c r="I446" s="11">
        <f t="shared" si="265"/>
        <v>0</v>
      </c>
      <c r="J446" s="11"/>
      <c r="K446" s="11">
        <f>H446*E446</f>
        <v>0</v>
      </c>
      <c r="L446" s="343" t="s">
        <v>226</v>
      </c>
      <c r="N446" s="10"/>
    </row>
    <row r="447" spans="1:14" ht="63" x14ac:dyDescent="0.25">
      <c r="A447" s="533">
        <v>423</v>
      </c>
      <c r="B447" s="337" t="s">
        <v>224</v>
      </c>
      <c r="C447" s="338" t="s">
        <v>0</v>
      </c>
      <c r="D447" s="339"/>
      <c r="E447" s="15">
        <v>3</v>
      </c>
      <c r="F447" s="537">
        <f t="shared" ref="F447:F448" si="266">G447+H447</f>
        <v>0</v>
      </c>
      <c r="G447" s="538"/>
      <c r="H447" s="537"/>
      <c r="I447" s="537">
        <f t="shared" ref="I447:I448" si="267">J447+K447</f>
        <v>0</v>
      </c>
      <c r="J447" s="539">
        <f>G447*E447</f>
        <v>0</v>
      </c>
      <c r="K447" s="537"/>
      <c r="L447" s="340"/>
      <c r="N447" s="10"/>
    </row>
    <row r="448" spans="1:14" x14ac:dyDescent="0.25">
      <c r="A448" s="332">
        <v>424</v>
      </c>
      <c r="B448" s="341" t="s">
        <v>228</v>
      </c>
      <c r="C448" s="357" t="s">
        <v>0</v>
      </c>
      <c r="D448" s="329">
        <v>1</v>
      </c>
      <c r="E448" s="297">
        <f>E447*D448</f>
        <v>3</v>
      </c>
      <c r="F448" s="11">
        <f t="shared" si="266"/>
        <v>0</v>
      </c>
      <c r="G448" s="11"/>
      <c r="H448" s="540"/>
      <c r="I448" s="11">
        <f t="shared" si="267"/>
        <v>0</v>
      </c>
      <c r="J448" s="11"/>
      <c r="K448" s="11">
        <f>H448*E448</f>
        <v>0</v>
      </c>
      <c r="L448" s="343" t="s">
        <v>226</v>
      </c>
      <c r="N448" s="10"/>
    </row>
    <row r="449" spans="1:14" x14ac:dyDescent="0.25">
      <c r="A449" s="251"/>
      <c r="B449" s="150" t="s">
        <v>231</v>
      </c>
      <c r="C449" s="151"/>
      <c r="D449" s="152"/>
      <c r="E449" s="152"/>
      <c r="F449" s="152"/>
      <c r="G449" s="152"/>
      <c r="H449" s="152"/>
      <c r="I449" s="152"/>
      <c r="J449" s="152"/>
      <c r="K449" s="152"/>
      <c r="L449" s="153"/>
      <c r="N449" s="10"/>
    </row>
    <row r="450" spans="1:14" ht="31.5" x14ac:dyDescent="0.25">
      <c r="A450" s="534">
        <v>425</v>
      </c>
      <c r="B450" s="40" t="s">
        <v>217</v>
      </c>
      <c r="C450" s="124" t="s">
        <v>1</v>
      </c>
      <c r="D450" s="41"/>
      <c r="E450" s="136">
        <f>Расч.!O25+Расч.!O28*0.1</f>
        <v>7.25</v>
      </c>
      <c r="F450" s="537">
        <f t="shared" ref="F450:F451" si="268">G450+H450</f>
        <v>0</v>
      </c>
      <c r="G450" s="538"/>
      <c r="H450" s="537"/>
      <c r="I450" s="537">
        <f t="shared" ref="I450:I451" si="269">J450+K450</f>
        <v>0</v>
      </c>
      <c r="J450" s="539">
        <f>G450*E450</f>
        <v>0</v>
      </c>
      <c r="K450" s="537"/>
      <c r="L450" s="112"/>
      <c r="N450" s="10"/>
    </row>
    <row r="451" spans="1:14" x14ac:dyDescent="0.25">
      <c r="A451" s="198">
        <v>426</v>
      </c>
      <c r="B451" s="345" t="s">
        <v>218</v>
      </c>
      <c r="C451" s="44" t="s">
        <v>1</v>
      </c>
      <c r="D451" s="45">
        <v>1.1499999999999999</v>
      </c>
      <c r="E451" s="11">
        <f>E450*D451</f>
        <v>8.34</v>
      </c>
      <c r="F451" s="11">
        <f t="shared" si="268"/>
        <v>0</v>
      </c>
      <c r="G451" s="11"/>
      <c r="H451" s="540"/>
      <c r="I451" s="11">
        <f t="shared" si="269"/>
        <v>0</v>
      </c>
      <c r="J451" s="11"/>
      <c r="K451" s="11">
        <f>H451*E451</f>
        <v>0</v>
      </c>
      <c r="L451" s="106" t="s">
        <v>15</v>
      </c>
      <c r="N451" s="10"/>
    </row>
    <row r="452" spans="1:14" x14ac:dyDescent="0.25">
      <c r="A452" s="534">
        <v>427</v>
      </c>
      <c r="B452" s="131" t="s">
        <v>57</v>
      </c>
      <c r="C452" s="132" t="s">
        <v>1</v>
      </c>
      <c r="D452" s="133"/>
      <c r="E452" s="15">
        <f>Расч.!O25</f>
        <v>7</v>
      </c>
      <c r="F452" s="537">
        <f t="shared" ref="F452:F453" si="270">G452+H452</f>
        <v>0</v>
      </c>
      <c r="G452" s="538"/>
      <c r="H452" s="537"/>
      <c r="I452" s="537">
        <f t="shared" ref="I452:I453" si="271">J452+K452</f>
        <v>0</v>
      </c>
      <c r="J452" s="539">
        <f>G452*E452</f>
        <v>0</v>
      </c>
      <c r="K452" s="537"/>
      <c r="L452" s="112"/>
      <c r="N452" s="10"/>
    </row>
    <row r="453" spans="1:14" ht="31.5" x14ac:dyDescent="0.25">
      <c r="A453" s="198">
        <v>428</v>
      </c>
      <c r="B453" s="134" t="s">
        <v>234</v>
      </c>
      <c r="C453" s="102" t="s">
        <v>27</v>
      </c>
      <c r="D453" s="103">
        <v>1.1000000000000001</v>
      </c>
      <c r="E453" s="11">
        <f>E452*D453*0.1</f>
        <v>0.77</v>
      </c>
      <c r="F453" s="11">
        <f t="shared" si="270"/>
        <v>0</v>
      </c>
      <c r="G453" s="11"/>
      <c r="H453" s="540"/>
      <c r="I453" s="11">
        <f t="shared" si="271"/>
        <v>0</v>
      </c>
      <c r="J453" s="11"/>
      <c r="K453" s="11">
        <f>H453*E453</f>
        <v>0</v>
      </c>
      <c r="L453" s="106" t="s">
        <v>15</v>
      </c>
      <c r="N453" s="10"/>
    </row>
    <row r="454" spans="1:14" x14ac:dyDescent="0.25">
      <c r="A454" s="534">
        <v>429</v>
      </c>
      <c r="B454" s="131" t="s">
        <v>60</v>
      </c>
      <c r="C454" s="132" t="s">
        <v>1</v>
      </c>
      <c r="D454" s="133"/>
      <c r="E454" s="15">
        <f>E452</f>
        <v>7</v>
      </c>
      <c r="F454" s="537">
        <f t="shared" ref="F454:F455" si="272">G454+H454</f>
        <v>0</v>
      </c>
      <c r="G454" s="538"/>
      <c r="H454" s="537"/>
      <c r="I454" s="537">
        <f t="shared" ref="I454:I455" si="273">J454+K454</f>
        <v>0</v>
      </c>
      <c r="J454" s="539">
        <f>G454*E454</f>
        <v>0</v>
      </c>
      <c r="K454" s="537"/>
      <c r="L454" s="112"/>
      <c r="N454" s="10"/>
    </row>
    <row r="455" spans="1:14" x14ac:dyDescent="0.25">
      <c r="A455" s="198">
        <v>430</v>
      </c>
      <c r="B455" s="134" t="s">
        <v>29</v>
      </c>
      <c r="C455" s="102" t="s">
        <v>1</v>
      </c>
      <c r="D455" s="103">
        <v>1.1499999999999999</v>
      </c>
      <c r="E455" s="11">
        <f>E454*D455</f>
        <v>8.0500000000000007</v>
      </c>
      <c r="F455" s="11">
        <f t="shared" si="272"/>
        <v>0</v>
      </c>
      <c r="G455" s="11"/>
      <c r="H455" s="540"/>
      <c r="I455" s="11">
        <f t="shared" si="273"/>
        <v>0</v>
      </c>
      <c r="J455" s="11"/>
      <c r="K455" s="11">
        <f>H455*E455</f>
        <v>0</v>
      </c>
      <c r="L455" s="106" t="s">
        <v>15</v>
      </c>
      <c r="N455" s="10"/>
    </row>
    <row r="456" spans="1:14" ht="47.25" x14ac:dyDescent="0.25">
      <c r="A456" s="534">
        <v>431</v>
      </c>
      <c r="B456" s="131" t="s">
        <v>94</v>
      </c>
      <c r="C456" s="132" t="s">
        <v>1</v>
      </c>
      <c r="D456" s="133"/>
      <c r="E456" s="15">
        <f>E454</f>
        <v>7</v>
      </c>
      <c r="F456" s="537">
        <f t="shared" ref="F456:F458" si="274">G456+H456</f>
        <v>0</v>
      </c>
      <c r="G456" s="538"/>
      <c r="H456" s="537"/>
      <c r="I456" s="537">
        <f t="shared" ref="I456:I458" si="275">J456+K456</f>
        <v>0</v>
      </c>
      <c r="J456" s="539">
        <f>G456*E456</f>
        <v>0</v>
      </c>
      <c r="K456" s="537"/>
      <c r="L456" s="112"/>
      <c r="N456" s="10"/>
    </row>
    <row r="457" spans="1:14" x14ac:dyDescent="0.25">
      <c r="A457" s="198">
        <v>432</v>
      </c>
      <c r="B457" s="138" t="s">
        <v>26</v>
      </c>
      <c r="C457" s="102" t="s">
        <v>27</v>
      </c>
      <c r="D457" s="137">
        <v>1.0149999999999999</v>
      </c>
      <c r="E457" s="11">
        <f>Расч.!T28*D457</f>
        <v>0.45</v>
      </c>
      <c r="F457" s="11">
        <f t="shared" si="274"/>
        <v>0</v>
      </c>
      <c r="G457" s="11"/>
      <c r="H457" s="540"/>
      <c r="I457" s="11">
        <f t="shared" si="275"/>
        <v>0</v>
      </c>
      <c r="J457" s="11"/>
      <c r="K457" s="11">
        <f>H457*E457</f>
        <v>0</v>
      </c>
      <c r="L457" s="106" t="s">
        <v>15</v>
      </c>
      <c r="N457" s="10"/>
    </row>
    <row r="458" spans="1:14" x14ac:dyDescent="0.25">
      <c r="A458" s="198">
        <v>433</v>
      </c>
      <c r="B458" s="138" t="s">
        <v>37</v>
      </c>
      <c r="C458" s="102" t="s">
        <v>1</v>
      </c>
      <c r="D458" s="103">
        <v>1.2</v>
      </c>
      <c r="E458" s="11">
        <f>E456*D458</f>
        <v>8.4</v>
      </c>
      <c r="F458" s="11">
        <f t="shared" si="274"/>
        <v>0</v>
      </c>
      <c r="G458" s="11"/>
      <c r="H458" s="540"/>
      <c r="I458" s="11">
        <f t="shared" si="275"/>
        <v>0</v>
      </c>
      <c r="J458" s="11"/>
      <c r="K458" s="11">
        <f>H458*E458</f>
        <v>0</v>
      </c>
      <c r="L458" s="114" t="s">
        <v>15</v>
      </c>
      <c r="N458" s="10"/>
    </row>
    <row r="459" spans="1:14" ht="36" customHeight="1" x14ac:dyDescent="0.25">
      <c r="A459" s="534">
        <v>434</v>
      </c>
      <c r="B459" s="131" t="s">
        <v>61</v>
      </c>
      <c r="C459" s="132" t="s">
        <v>30</v>
      </c>
      <c r="D459" s="133"/>
      <c r="E459" s="15">
        <f>Расч.!O28</f>
        <v>2.5</v>
      </c>
      <c r="F459" s="537">
        <f t="shared" ref="F459:F460" si="276">G459+H459</f>
        <v>0</v>
      </c>
      <c r="G459" s="538"/>
      <c r="H459" s="537"/>
      <c r="I459" s="537">
        <f t="shared" ref="I459:I460" si="277">J459+K459</f>
        <v>0</v>
      </c>
      <c r="J459" s="539">
        <f>G459*E459</f>
        <v>0</v>
      </c>
      <c r="K459" s="537"/>
      <c r="L459" s="112"/>
      <c r="N459" s="10"/>
    </row>
    <row r="460" spans="1:14" x14ac:dyDescent="0.25">
      <c r="A460" s="198">
        <v>435</v>
      </c>
      <c r="B460" s="138" t="s">
        <v>26</v>
      </c>
      <c r="C460" s="102" t="s">
        <v>27</v>
      </c>
      <c r="D460" s="137">
        <v>5.0000000000000001E-3</v>
      </c>
      <c r="E460" s="11">
        <f>D460*E459</f>
        <v>0.01</v>
      </c>
      <c r="F460" s="11">
        <f t="shared" si="276"/>
        <v>0</v>
      </c>
      <c r="G460" s="11"/>
      <c r="H460" s="540"/>
      <c r="I460" s="11">
        <f t="shared" si="277"/>
        <v>0</v>
      </c>
      <c r="J460" s="11"/>
      <c r="K460" s="11">
        <f>H460*E460</f>
        <v>0</v>
      </c>
      <c r="L460" s="106" t="s">
        <v>15</v>
      </c>
      <c r="N460" s="10"/>
    </row>
    <row r="461" spans="1:14" ht="47.25" x14ac:dyDescent="0.25">
      <c r="A461" s="534">
        <v>436</v>
      </c>
      <c r="B461" s="131" t="s">
        <v>83</v>
      </c>
      <c r="C461" s="132" t="s">
        <v>1</v>
      </c>
      <c r="D461" s="133"/>
      <c r="E461" s="15">
        <f>Расч.!O25+Расч.!O28*0.3</f>
        <v>7.75</v>
      </c>
      <c r="F461" s="537">
        <f t="shared" ref="F461:F462" si="278">G461+H461</f>
        <v>0</v>
      </c>
      <c r="G461" s="538"/>
      <c r="H461" s="537"/>
      <c r="I461" s="537">
        <f t="shared" ref="I461:I462" si="279">J461+K461</f>
        <v>0</v>
      </c>
      <c r="J461" s="539">
        <f>G461*E461</f>
        <v>0</v>
      </c>
      <c r="K461" s="537"/>
      <c r="L461" s="112"/>
      <c r="N461" s="10"/>
    </row>
    <row r="462" spans="1:14" ht="31.5" x14ac:dyDescent="0.25">
      <c r="A462" s="198">
        <v>437</v>
      </c>
      <c r="B462" s="138" t="s">
        <v>84</v>
      </c>
      <c r="C462" s="102" t="s">
        <v>25</v>
      </c>
      <c r="D462" s="103">
        <v>0.35</v>
      </c>
      <c r="E462" s="11">
        <f>E461*D462</f>
        <v>2.71</v>
      </c>
      <c r="F462" s="11">
        <f t="shared" si="278"/>
        <v>0</v>
      </c>
      <c r="G462" s="11"/>
      <c r="H462" s="540"/>
      <c r="I462" s="11">
        <f t="shared" si="279"/>
        <v>0</v>
      </c>
      <c r="J462" s="11"/>
      <c r="K462" s="11">
        <f>H462*E462</f>
        <v>0</v>
      </c>
      <c r="L462" s="114" t="s">
        <v>15</v>
      </c>
      <c r="N462" s="10"/>
    </row>
    <row r="463" spans="1:14" ht="31.5" x14ac:dyDescent="0.25">
      <c r="A463" s="534">
        <v>438</v>
      </c>
      <c r="B463" s="131" t="s">
        <v>58</v>
      </c>
      <c r="C463" s="132" t="s">
        <v>1</v>
      </c>
      <c r="D463" s="133"/>
      <c r="E463" s="15">
        <f>Расч.!O25</f>
        <v>7</v>
      </c>
      <c r="F463" s="537">
        <f t="shared" ref="F463:F466" si="280">G463+H463</f>
        <v>0</v>
      </c>
      <c r="G463" s="538"/>
      <c r="H463" s="537"/>
      <c r="I463" s="537">
        <f t="shared" ref="I463:I466" si="281">J463+K463</f>
        <v>0</v>
      </c>
      <c r="J463" s="539">
        <f>G463*E463</f>
        <v>0</v>
      </c>
      <c r="K463" s="537"/>
      <c r="L463" s="112"/>
      <c r="N463" s="10"/>
    </row>
    <row r="464" spans="1:14" x14ac:dyDescent="0.25">
      <c r="A464" s="198">
        <v>439</v>
      </c>
      <c r="B464" s="341" t="s">
        <v>68</v>
      </c>
      <c r="C464" s="328" t="s">
        <v>1</v>
      </c>
      <c r="D464" s="329">
        <v>1.1599999999999999</v>
      </c>
      <c r="E464" s="11">
        <f>E463*D464</f>
        <v>8.1199999999999992</v>
      </c>
      <c r="F464" s="11">
        <f t="shared" si="280"/>
        <v>0</v>
      </c>
      <c r="G464" s="11"/>
      <c r="H464" s="540"/>
      <c r="I464" s="11">
        <f t="shared" si="281"/>
        <v>0</v>
      </c>
      <c r="J464" s="11"/>
      <c r="K464" s="11">
        <f>H464*E464</f>
        <v>0</v>
      </c>
      <c r="L464" s="114" t="s">
        <v>15</v>
      </c>
      <c r="N464" s="10"/>
    </row>
    <row r="465" spans="1:14" x14ac:dyDescent="0.25">
      <c r="A465" s="198">
        <v>440</v>
      </c>
      <c r="B465" s="341" t="s">
        <v>219</v>
      </c>
      <c r="C465" s="328" t="s">
        <v>1</v>
      </c>
      <c r="D465" s="329">
        <v>1.1399999999999999</v>
      </c>
      <c r="E465" s="11">
        <f>E463*D465</f>
        <v>7.98</v>
      </c>
      <c r="F465" s="11">
        <f t="shared" si="280"/>
        <v>0</v>
      </c>
      <c r="G465" s="11"/>
      <c r="H465" s="540"/>
      <c r="I465" s="11">
        <f t="shared" si="281"/>
        <v>0</v>
      </c>
      <c r="J465" s="11"/>
      <c r="K465" s="11">
        <f>H465*E465</f>
        <v>0</v>
      </c>
      <c r="L465" s="114" t="s">
        <v>15</v>
      </c>
      <c r="N465" s="10"/>
    </row>
    <row r="466" spans="1:14" x14ac:dyDescent="0.25">
      <c r="A466" s="198">
        <v>441</v>
      </c>
      <c r="B466" s="341" t="s">
        <v>28</v>
      </c>
      <c r="C466" s="346" t="s">
        <v>3</v>
      </c>
      <c r="D466" s="358">
        <v>0.6</v>
      </c>
      <c r="E466" s="11">
        <f>E463*D466</f>
        <v>4.2</v>
      </c>
      <c r="F466" s="11">
        <f t="shared" si="280"/>
        <v>0</v>
      </c>
      <c r="G466" s="11"/>
      <c r="H466" s="540"/>
      <c r="I466" s="11">
        <f t="shared" si="281"/>
        <v>0</v>
      </c>
      <c r="J466" s="11"/>
      <c r="K466" s="11">
        <f>H466*E466</f>
        <v>0</v>
      </c>
      <c r="L466" s="106" t="s">
        <v>15</v>
      </c>
      <c r="N466" s="10"/>
    </row>
    <row r="467" spans="1:14" ht="31.5" x14ac:dyDescent="0.25">
      <c r="A467" s="534">
        <v>442</v>
      </c>
      <c r="B467" s="131" t="s">
        <v>35</v>
      </c>
      <c r="C467" s="132" t="s">
        <v>30</v>
      </c>
      <c r="D467" s="133"/>
      <c r="E467" s="15">
        <f>E459</f>
        <v>2.5</v>
      </c>
      <c r="F467" s="537">
        <f t="shared" ref="F467:F474" si="282">G467+H467</f>
        <v>0</v>
      </c>
      <c r="G467" s="538"/>
      <c r="H467" s="537"/>
      <c r="I467" s="537">
        <f t="shared" ref="I467:I474" si="283">J467+K467</f>
        <v>0</v>
      </c>
      <c r="J467" s="539">
        <f>G467*E467</f>
        <v>0</v>
      </c>
      <c r="K467" s="537"/>
      <c r="L467" s="112"/>
      <c r="N467" s="10"/>
    </row>
    <row r="468" spans="1:14" x14ac:dyDescent="0.25">
      <c r="A468" s="198">
        <v>443</v>
      </c>
      <c r="B468" s="341" t="s">
        <v>68</v>
      </c>
      <c r="C468" s="328" t="s">
        <v>1</v>
      </c>
      <c r="D468" s="329">
        <v>1.1599999999999999</v>
      </c>
      <c r="E468" s="11">
        <f>E467*0.5*D468</f>
        <v>1.45</v>
      </c>
      <c r="F468" s="11">
        <f t="shared" si="282"/>
        <v>0</v>
      </c>
      <c r="G468" s="11"/>
      <c r="H468" s="540"/>
      <c r="I468" s="11">
        <f t="shared" si="283"/>
        <v>0</v>
      </c>
      <c r="J468" s="11"/>
      <c r="K468" s="11">
        <f>H468*E468</f>
        <v>0</v>
      </c>
      <c r="L468" s="106" t="s">
        <v>15</v>
      </c>
      <c r="N468" s="10"/>
    </row>
    <row r="469" spans="1:14" x14ac:dyDescent="0.25">
      <c r="A469" s="198">
        <v>444</v>
      </c>
      <c r="B469" s="341" t="s">
        <v>219</v>
      </c>
      <c r="C469" s="328" t="s">
        <v>1</v>
      </c>
      <c r="D469" s="329">
        <v>1.1399999999999999</v>
      </c>
      <c r="E469" s="11">
        <f>E467*0.4*D469</f>
        <v>1.1399999999999999</v>
      </c>
      <c r="F469" s="11">
        <f t="shared" si="282"/>
        <v>0</v>
      </c>
      <c r="G469" s="11"/>
      <c r="H469" s="540"/>
      <c r="I469" s="11">
        <f t="shared" si="283"/>
        <v>0</v>
      </c>
      <c r="J469" s="11"/>
      <c r="K469" s="11">
        <f>H469*E469</f>
        <v>0</v>
      </c>
      <c r="L469" s="106" t="s">
        <v>15</v>
      </c>
      <c r="N469" s="10"/>
    </row>
    <row r="470" spans="1:14" x14ac:dyDescent="0.25">
      <c r="A470" s="198">
        <v>445</v>
      </c>
      <c r="B470" s="341" t="s">
        <v>86</v>
      </c>
      <c r="C470" s="328" t="s">
        <v>1</v>
      </c>
      <c r="D470" s="329">
        <v>1.1399999999999999</v>
      </c>
      <c r="E470" s="11">
        <f>E467*0.25*D470</f>
        <v>0.71</v>
      </c>
      <c r="F470" s="11">
        <f t="shared" si="282"/>
        <v>0</v>
      </c>
      <c r="G470" s="11"/>
      <c r="H470" s="540"/>
      <c r="I470" s="11">
        <f t="shared" si="283"/>
        <v>0</v>
      </c>
      <c r="J470" s="11"/>
      <c r="K470" s="11">
        <f>H470*E470</f>
        <v>0</v>
      </c>
      <c r="L470" s="106" t="s">
        <v>15</v>
      </c>
      <c r="N470" s="10"/>
    </row>
    <row r="471" spans="1:14" x14ac:dyDescent="0.25">
      <c r="A471" s="198">
        <v>446</v>
      </c>
      <c r="B471" s="341" t="s">
        <v>28</v>
      </c>
      <c r="C471" s="346" t="s">
        <v>3</v>
      </c>
      <c r="D471" s="329">
        <v>0.6</v>
      </c>
      <c r="E471" s="11">
        <f>E467*D471</f>
        <v>1.5</v>
      </c>
      <c r="F471" s="11">
        <f t="shared" si="282"/>
        <v>0</v>
      </c>
      <c r="G471" s="11"/>
      <c r="H471" s="540"/>
      <c r="I471" s="11">
        <f t="shared" si="283"/>
        <v>0</v>
      </c>
      <c r="J471" s="11"/>
      <c r="K471" s="11">
        <f>H471*E471</f>
        <v>0</v>
      </c>
      <c r="L471" s="106" t="s">
        <v>15</v>
      </c>
      <c r="N471" s="10"/>
    </row>
    <row r="472" spans="1:14" ht="31.5" x14ac:dyDescent="0.25">
      <c r="A472" s="198">
        <v>447</v>
      </c>
      <c r="B472" s="138" t="s">
        <v>43</v>
      </c>
      <c r="C472" s="141" t="s">
        <v>2</v>
      </c>
      <c r="D472" s="103">
        <v>1.03</v>
      </c>
      <c r="E472" s="11">
        <f>E467*D472</f>
        <v>2.58</v>
      </c>
      <c r="F472" s="11">
        <f t="shared" si="282"/>
        <v>0</v>
      </c>
      <c r="G472" s="11"/>
      <c r="H472" s="540"/>
      <c r="I472" s="11">
        <f t="shared" si="283"/>
        <v>0</v>
      </c>
      <c r="J472" s="11"/>
      <c r="K472" s="11">
        <f>H472*E472</f>
        <v>0</v>
      </c>
      <c r="L472" s="106" t="s">
        <v>15</v>
      </c>
      <c r="N472" s="10"/>
    </row>
    <row r="473" spans="1:14" x14ac:dyDescent="0.25">
      <c r="A473" s="198">
        <v>448</v>
      </c>
      <c r="B473" s="138" t="s">
        <v>31</v>
      </c>
      <c r="C473" s="142" t="s">
        <v>0</v>
      </c>
      <c r="D473" s="103">
        <v>5</v>
      </c>
      <c r="E473" s="11">
        <f>ROUND(E467*D473,0)</f>
        <v>13</v>
      </c>
      <c r="F473" s="11">
        <f t="shared" si="282"/>
        <v>0</v>
      </c>
      <c r="G473" s="11"/>
      <c r="H473" s="540"/>
      <c r="I473" s="11">
        <f t="shared" si="283"/>
        <v>0</v>
      </c>
      <c r="J473" s="11"/>
      <c r="K473" s="11">
        <f>H473*E473</f>
        <v>0</v>
      </c>
      <c r="L473" s="106" t="s">
        <v>15</v>
      </c>
      <c r="N473" s="10"/>
    </row>
    <row r="474" spans="1:14" ht="31.5" x14ac:dyDescent="0.25">
      <c r="A474" s="198">
        <v>449</v>
      </c>
      <c r="B474" s="138" t="s">
        <v>69</v>
      </c>
      <c r="C474" s="143" t="s">
        <v>0</v>
      </c>
      <c r="D474" s="103">
        <v>0.15</v>
      </c>
      <c r="E474" s="11">
        <f>ROUNDUP(E467*D474,0)</f>
        <v>1</v>
      </c>
      <c r="F474" s="11">
        <f t="shared" si="282"/>
        <v>0</v>
      </c>
      <c r="G474" s="11"/>
      <c r="H474" s="540"/>
      <c r="I474" s="11">
        <f t="shared" si="283"/>
        <v>0</v>
      </c>
      <c r="J474" s="11"/>
      <c r="K474" s="11">
        <f>H474*E474</f>
        <v>0</v>
      </c>
      <c r="L474" s="106" t="s">
        <v>15</v>
      </c>
      <c r="N474" s="10"/>
    </row>
    <row r="475" spans="1:14" x14ac:dyDescent="0.25">
      <c r="A475" s="534">
        <v>450</v>
      </c>
      <c r="B475" s="49" t="s">
        <v>59</v>
      </c>
      <c r="C475" s="125" t="s">
        <v>30</v>
      </c>
      <c r="D475" s="50"/>
      <c r="E475" s="15">
        <f>Расч.!R117</f>
        <v>5.3</v>
      </c>
      <c r="F475" s="537">
        <f t="shared" ref="F475:F479" si="284">G475+H475</f>
        <v>0</v>
      </c>
      <c r="G475" s="538"/>
      <c r="H475" s="537"/>
      <c r="I475" s="537">
        <f t="shared" ref="I475:I479" si="285">J475+K475</f>
        <v>0</v>
      </c>
      <c r="J475" s="539">
        <f>G475*E475</f>
        <v>0</v>
      </c>
      <c r="K475" s="537"/>
      <c r="L475" s="51"/>
      <c r="N475" s="10"/>
    </row>
    <row r="476" spans="1:14" x14ac:dyDescent="0.25">
      <c r="A476" s="198">
        <v>451</v>
      </c>
      <c r="B476" s="55" t="s">
        <v>31</v>
      </c>
      <c r="C476" s="54" t="s">
        <v>0</v>
      </c>
      <c r="D476" s="54">
        <v>5</v>
      </c>
      <c r="E476" s="61">
        <f>ROUND(E475*D476,0)</f>
        <v>27</v>
      </c>
      <c r="F476" s="11">
        <f t="shared" si="284"/>
        <v>0</v>
      </c>
      <c r="G476" s="11"/>
      <c r="H476" s="540"/>
      <c r="I476" s="11">
        <f t="shared" si="285"/>
        <v>0</v>
      </c>
      <c r="J476" s="11"/>
      <c r="K476" s="11">
        <f>H476*E476</f>
        <v>0</v>
      </c>
      <c r="L476" s="48" t="s">
        <v>15</v>
      </c>
      <c r="N476" s="10"/>
    </row>
    <row r="477" spans="1:14" ht="47.25" x14ac:dyDescent="0.25">
      <c r="A477" s="198">
        <v>452</v>
      </c>
      <c r="B477" s="55" t="s">
        <v>141</v>
      </c>
      <c r="C477" s="53" t="s">
        <v>30</v>
      </c>
      <c r="D477" s="54">
        <v>1.1000000000000001</v>
      </c>
      <c r="E477" s="11">
        <f>E475*D477</f>
        <v>5.83</v>
      </c>
      <c r="F477" s="11">
        <f t="shared" si="284"/>
        <v>0</v>
      </c>
      <c r="G477" s="11"/>
      <c r="H477" s="540"/>
      <c r="I477" s="11">
        <f t="shared" si="285"/>
        <v>0</v>
      </c>
      <c r="J477" s="11"/>
      <c r="K477" s="11">
        <f>H477*E477</f>
        <v>0</v>
      </c>
      <c r="L477" s="48" t="s">
        <v>15</v>
      </c>
      <c r="N477" s="10"/>
    </row>
    <row r="478" spans="1:14" x14ac:dyDescent="0.25">
      <c r="A478" s="198">
        <v>453</v>
      </c>
      <c r="B478" s="55" t="s">
        <v>34</v>
      </c>
      <c r="C478" s="53" t="s">
        <v>0</v>
      </c>
      <c r="D478" s="54">
        <v>1.66</v>
      </c>
      <c r="E478" s="11">
        <f>ROUND(D478*E475,0)</f>
        <v>9</v>
      </c>
      <c r="F478" s="11">
        <f t="shared" si="284"/>
        <v>0</v>
      </c>
      <c r="G478" s="11"/>
      <c r="H478" s="540"/>
      <c r="I478" s="11">
        <f t="shared" si="285"/>
        <v>0</v>
      </c>
      <c r="J478" s="11"/>
      <c r="K478" s="11">
        <f>H478*E478</f>
        <v>0</v>
      </c>
      <c r="L478" s="48" t="s">
        <v>15</v>
      </c>
      <c r="N478" s="10"/>
    </row>
    <row r="479" spans="1:14" x14ac:dyDescent="0.25">
      <c r="A479" s="198">
        <v>454</v>
      </c>
      <c r="B479" s="55" t="s">
        <v>26</v>
      </c>
      <c r="C479" s="53" t="s">
        <v>27</v>
      </c>
      <c r="D479" s="56">
        <v>1.0149999999999999</v>
      </c>
      <c r="E479" s="11">
        <f>E475*0.12*0.03*D479</f>
        <v>0.02</v>
      </c>
      <c r="F479" s="11">
        <f t="shared" si="284"/>
        <v>0</v>
      </c>
      <c r="G479" s="11"/>
      <c r="H479" s="540"/>
      <c r="I479" s="11">
        <f t="shared" si="285"/>
        <v>0</v>
      </c>
      <c r="J479" s="11"/>
      <c r="K479" s="11">
        <f>H479*E479</f>
        <v>0</v>
      </c>
      <c r="L479" s="48" t="s">
        <v>15</v>
      </c>
      <c r="N479" s="10"/>
    </row>
    <row r="480" spans="1:14" x14ac:dyDescent="0.25">
      <c r="A480" s="534">
        <v>455</v>
      </c>
      <c r="B480" s="241" t="s">
        <v>64</v>
      </c>
      <c r="C480" s="242" t="s">
        <v>30</v>
      </c>
      <c r="D480" s="243"/>
      <c r="E480" s="15">
        <f>Расч.!R118</f>
        <v>8.1999999999999993</v>
      </c>
      <c r="F480" s="537">
        <f t="shared" ref="F480:F482" si="286">G480+H480</f>
        <v>0</v>
      </c>
      <c r="G480" s="538"/>
      <c r="H480" s="537"/>
      <c r="I480" s="537">
        <f t="shared" ref="I480:I482" si="287">J480+K480</f>
        <v>0</v>
      </c>
      <c r="J480" s="539">
        <f>G480*E480</f>
        <v>0</v>
      </c>
      <c r="K480" s="537"/>
      <c r="L480" s="244"/>
      <c r="N480" s="10"/>
    </row>
    <row r="481" spans="1:14" ht="47.25" x14ac:dyDescent="0.25">
      <c r="A481" s="198">
        <v>456</v>
      </c>
      <c r="B481" s="55" t="s">
        <v>140</v>
      </c>
      <c r="C481" s="245" t="s">
        <v>30</v>
      </c>
      <c r="D481" s="224">
        <v>1.1000000000000001</v>
      </c>
      <c r="E481" s="11">
        <f>E480*D481</f>
        <v>9.02</v>
      </c>
      <c r="F481" s="11">
        <f t="shared" si="286"/>
        <v>0</v>
      </c>
      <c r="G481" s="11"/>
      <c r="H481" s="540"/>
      <c r="I481" s="11">
        <f t="shared" si="287"/>
        <v>0</v>
      </c>
      <c r="J481" s="11"/>
      <c r="K481" s="11">
        <f>H481*E481</f>
        <v>0</v>
      </c>
      <c r="L481" s="225" t="s">
        <v>144</v>
      </c>
      <c r="N481" s="10"/>
    </row>
    <row r="482" spans="1:14" x14ac:dyDescent="0.25">
      <c r="A482" s="198">
        <v>457</v>
      </c>
      <c r="B482" s="138" t="s">
        <v>31</v>
      </c>
      <c r="C482" s="142" t="s">
        <v>0</v>
      </c>
      <c r="D482" s="103">
        <v>5</v>
      </c>
      <c r="E482" s="11">
        <f>ROUND(D482*E480,0)</f>
        <v>41</v>
      </c>
      <c r="F482" s="11">
        <f t="shared" si="286"/>
        <v>0</v>
      </c>
      <c r="G482" s="11"/>
      <c r="H482" s="540"/>
      <c r="I482" s="11">
        <f t="shared" si="287"/>
        <v>0</v>
      </c>
      <c r="J482" s="11"/>
      <c r="K482" s="11">
        <f>H482*E482</f>
        <v>0</v>
      </c>
      <c r="L482" s="246" t="s">
        <v>15</v>
      </c>
      <c r="N482" s="10"/>
    </row>
    <row r="483" spans="1:14" x14ac:dyDescent="0.25">
      <c r="A483" s="252"/>
      <c r="B483" s="3" t="s">
        <v>154</v>
      </c>
      <c r="C483" s="4"/>
      <c r="D483" s="27"/>
      <c r="E483" s="27"/>
      <c r="F483" s="27"/>
      <c r="G483" s="27"/>
      <c r="H483" s="27"/>
      <c r="I483" s="27"/>
      <c r="J483" s="27"/>
      <c r="K483" s="27"/>
      <c r="L483" s="28"/>
      <c r="N483" s="10"/>
    </row>
    <row r="484" spans="1:14" s="34" customFormat="1" x14ac:dyDescent="0.25">
      <c r="A484" s="17"/>
      <c r="B484" s="123" t="s">
        <v>56</v>
      </c>
      <c r="C484" s="18"/>
      <c r="D484" s="19"/>
      <c r="E484" s="19"/>
      <c r="F484" s="19"/>
      <c r="G484" s="19"/>
      <c r="H484" s="19"/>
      <c r="I484" s="19"/>
      <c r="J484" s="19"/>
      <c r="K484" s="19"/>
      <c r="L484" s="20"/>
    </row>
    <row r="485" spans="1:14" ht="31.5" x14ac:dyDescent="0.25">
      <c r="A485" s="534">
        <v>458</v>
      </c>
      <c r="B485" s="108" t="s">
        <v>217</v>
      </c>
      <c r="C485" s="121" t="s">
        <v>1</v>
      </c>
      <c r="D485" s="110"/>
      <c r="E485" s="111">
        <f>Расч.!E32+Расч.!E35*0.1</f>
        <v>590.13</v>
      </c>
      <c r="F485" s="537">
        <f t="shared" ref="F485:F486" si="288">G485+H485</f>
        <v>0</v>
      </c>
      <c r="G485" s="538"/>
      <c r="H485" s="537"/>
      <c r="I485" s="537">
        <f t="shared" ref="I485:I486" si="289">J485+K485</f>
        <v>0</v>
      </c>
      <c r="J485" s="539">
        <f>G485*E485</f>
        <v>0</v>
      </c>
      <c r="K485" s="537"/>
      <c r="L485" s="112"/>
      <c r="N485" s="10"/>
    </row>
    <row r="486" spans="1:14" x14ac:dyDescent="0.25">
      <c r="A486" s="198">
        <v>459</v>
      </c>
      <c r="B486" s="362" t="s">
        <v>218</v>
      </c>
      <c r="C486" s="104" t="s">
        <v>1</v>
      </c>
      <c r="D486" s="105">
        <v>1.1499999999999999</v>
      </c>
      <c r="E486" s="11">
        <f>E485*D486</f>
        <v>678.65</v>
      </c>
      <c r="F486" s="11">
        <f t="shared" si="288"/>
        <v>0</v>
      </c>
      <c r="G486" s="11"/>
      <c r="H486" s="540"/>
      <c r="I486" s="11">
        <f t="shared" si="289"/>
        <v>0</v>
      </c>
      <c r="J486" s="11"/>
      <c r="K486" s="11">
        <f>H486*E486</f>
        <v>0</v>
      </c>
      <c r="L486" s="114" t="s">
        <v>15</v>
      </c>
      <c r="N486" s="10"/>
    </row>
    <row r="487" spans="1:14" x14ac:dyDescent="0.25">
      <c r="A487" s="534">
        <v>460</v>
      </c>
      <c r="B487" s="108" t="s">
        <v>57</v>
      </c>
      <c r="C487" s="121" t="s">
        <v>1</v>
      </c>
      <c r="D487" s="110"/>
      <c r="E487" s="15">
        <f>Расч.!E32</f>
        <v>566.05999999999995</v>
      </c>
      <c r="F487" s="537">
        <f t="shared" ref="F487:F488" si="290">G487+H487</f>
        <v>0</v>
      </c>
      <c r="G487" s="538"/>
      <c r="H487" s="537"/>
      <c r="I487" s="537">
        <f t="shared" ref="I487:I488" si="291">J487+K487</f>
        <v>0</v>
      </c>
      <c r="J487" s="539">
        <f>G487*E487</f>
        <v>0</v>
      </c>
      <c r="K487" s="537"/>
      <c r="L487" s="112"/>
      <c r="N487" s="10"/>
    </row>
    <row r="488" spans="1:14" ht="31.5" x14ac:dyDescent="0.25">
      <c r="A488" s="198">
        <v>461</v>
      </c>
      <c r="B488" s="174" t="s">
        <v>234</v>
      </c>
      <c r="C488" s="104" t="s">
        <v>27</v>
      </c>
      <c r="D488" s="105">
        <v>1.1000000000000001</v>
      </c>
      <c r="E488" s="11">
        <f>E487*D488*0.1</f>
        <v>62.27</v>
      </c>
      <c r="F488" s="11">
        <f t="shared" si="290"/>
        <v>0</v>
      </c>
      <c r="G488" s="11"/>
      <c r="H488" s="540"/>
      <c r="I488" s="11">
        <f t="shared" si="291"/>
        <v>0</v>
      </c>
      <c r="J488" s="11"/>
      <c r="K488" s="11">
        <f>H488*E488</f>
        <v>0</v>
      </c>
      <c r="L488" s="106" t="s">
        <v>15</v>
      </c>
      <c r="N488" s="10"/>
    </row>
    <row r="489" spans="1:14" x14ac:dyDescent="0.25">
      <c r="A489" s="534">
        <v>462</v>
      </c>
      <c r="B489" s="108" t="s">
        <v>60</v>
      </c>
      <c r="C489" s="121" t="s">
        <v>1</v>
      </c>
      <c r="D489" s="110"/>
      <c r="E489" s="15">
        <f>Расч.!E32</f>
        <v>566.05999999999995</v>
      </c>
      <c r="F489" s="537">
        <f t="shared" ref="F489:F490" si="292">G489+H489</f>
        <v>0</v>
      </c>
      <c r="G489" s="538"/>
      <c r="H489" s="537"/>
      <c r="I489" s="537">
        <f t="shared" ref="I489:I490" si="293">J489+K489</f>
        <v>0</v>
      </c>
      <c r="J489" s="539">
        <f>G489*E489</f>
        <v>0</v>
      </c>
      <c r="K489" s="537"/>
      <c r="L489" s="112"/>
      <c r="N489" s="10"/>
    </row>
    <row r="490" spans="1:14" x14ac:dyDescent="0.25">
      <c r="A490" s="198">
        <v>463</v>
      </c>
      <c r="B490" s="174" t="s">
        <v>29</v>
      </c>
      <c r="C490" s="104" t="s">
        <v>1</v>
      </c>
      <c r="D490" s="105">
        <v>1.1499999999999999</v>
      </c>
      <c r="E490" s="11">
        <f>E489*D490</f>
        <v>650.97</v>
      </c>
      <c r="F490" s="11">
        <f t="shared" si="292"/>
        <v>0</v>
      </c>
      <c r="G490" s="11"/>
      <c r="H490" s="540"/>
      <c r="I490" s="11">
        <f t="shared" si="293"/>
        <v>0</v>
      </c>
      <c r="J490" s="11"/>
      <c r="K490" s="11">
        <f>H490*E490</f>
        <v>0</v>
      </c>
      <c r="L490" s="106" t="s">
        <v>15</v>
      </c>
      <c r="N490" s="10"/>
    </row>
    <row r="491" spans="1:14" x14ac:dyDescent="0.25">
      <c r="A491" s="534">
        <v>464</v>
      </c>
      <c r="B491" s="108" t="s">
        <v>85</v>
      </c>
      <c r="C491" s="121" t="s">
        <v>1</v>
      </c>
      <c r="D491" s="110"/>
      <c r="E491" s="15">
        <f>Расч.!J131*0.22</f>
        <v>25.47</v>
      </c>
      <c r="F491" s="537">
        <f t="shared" ref="F491:F492" si="294">G491+H491</f>
        <v>0</v>
      </c>
      <c r="G491" s="538"/>
      <c r="H491" s="537"/>
      <c r="I491" s="537">
        <f t="shared" ref="I491:I492" si="295">J491+K491</f>
        <v>0</v>
      </c>
      <c r="J491" s="539">
        <f>G491*E491</f>
        <v>0</v>
      </c>
      <c r="K491" s="537"/>
      <c r="L491" s="122"/>
      <c r="N491" s="10"/>
    </row>
    <row r="492" spans="1:14" ht="33" customHeight="1" x14ac:dyDescent="0.25">
      <c r="A492" s="198">
        <v>465</v>
      </c>
      <c r="B492" s="174" t="s">
        <v>248</v>
      </c>
      <c r="C492" s="104" t="s">
        <v>27</v>
      </c>
      <c r="D492" s="105">
        <v>1.1000000000000001</v>
      </c>
      <c r="E492" s="11">
        <f>E491*0.1*D492</f>
        <v>2.8</v>
      </c>
      <c r="F492" s="11">
        <f t="shared" si="294"/>
        <v>0</v>
      </c>
      <c r="G492" s="11"/>
      <c r="H492" s="540"/>
      <c r="I492" s="11">
        <f t="shared" si="295"/>
        <v>0</v>
      </c>
      <c r="J492" s="11"/>
      <c r="K492" s="11">
        <f>H492*E492</f>
        <v>0</v>
      </c>
      <c r="L492" s="106" t="s">
        <v>15</v>
      </c>
      <c r="N492" s="10"/>
    </row>
    <row r="493" spans="1:14" ht="47.25" x14ac:dyDescent="0.25">
      <c r="A493" s="534">
        <v>466</v>
      </c>
      <c r="B493" s="108" t="s">
        <v>82</v>
      </c>
      <c r="C493" s="121" t="s">
        <v>1</v>
      </c>
      <c r="D493" s="110"/>
      <c r="E493" s="15">
        <f>Расч.!I34</f>
        <v>554.48</v>
      </c>
      <c r="F493" s="537">
        <f t="shared" ref="F493:F495" si="296">G493+H493</f>
        <v>0</v>
      </c>
      <c r="G493" s="538"/>
      <c r="H493" s="537"/>
      <c r="I493" s="537">
        <f t="shared" ref="I493:I495" si="297">J493+K493</f>
        <v>0</v>
      </c>
      <c r="J493" s="539">
        <f>G493*E493</f>
        <v>0</v>
      </c>
      <c r="K493" s="537"/>
      <c r="L493" s="112"/>
      <c r="N493" s="10"/>
    </row>
    <row r="494" spans="1:14" x14ac:dyDescent="0.25">
      <c r="A494" s="198">
        <v>467</v>
      </c>
      <c r="B494" s="107" t="s">
        <v>26</v>
      </c>
      <c r="C494" s="104" t="s">
        <v>27</v>
      </c>
      <c r="D494" s="113">
        <v>1.0149999999999999</v>
      </c>
      <c r="E494" s="11">
        <f>Расч.!J35*D494</f>
        <v>91.93</v>
      </c>
      <c r="F494" s="11">
        <f t="shared" si="296"/>
        <v>0</v>
      </c>
      <c r="G494" s="11"/>
      <c r="H494" s="540"/>
      <c r="I494" s="11">
        <f t="shared" si="297"/>
        <v>0</v>
      </c>
      <c r="J494" s="11"/>
      <c r="K494" s="11">
        <f>H494*E494</f>
        <v>0</v>
      </c>
      <c r="L494" s="106" t="s">
        <v>15</v>
      </c>
      <c r="N494" s="10"/>
    </row>
    <row r="495" spans="1:14" x14ac:dyDescent="0.25">
      <c r="A495" s="198">
        <v>468</v>
      </c>
      <c r="B495" s="107" t="s">
        <v>37</v>
      </c>
      <c r="C495" s="104" t="s">
        <v>1</v>
      </c>
      <c r="D495" s="105">
        <v>1.2</v>
      </c>
      <c r="E495" s="11">
        <f>E493*D495</f>
        <v>665.38</v>
      </c>
      <c r="F495" s="11">
        <f t="shared" si="296"/>
        <v>0</v>
      </c>
      <c r="G495" s="11"/>
      <c r="H495" s="540"/>
      <c r="I495" s="11">
        <f t="shared" si="297"/>
        <v>0</v>
      </c>
      <c r="J495" s="11"/>
      <c r="K495" s="11">
        <f>H495*E495</f>
        <v>0</v>
      </c>
      <c r="L495" s="114" t="s">
        <v>15</v>
      </c>
      <c r="N495" s="10"/>
    </row>
    <row r="496" spans="1:14" ht="31.5" x14ac:dyDescent="0.25">
      <c r="A496" s="534">
        <v>469</v>
      </c>
      <c r="B496" s="49" t="s">
        <v>179</v>
      </c>
      <c r="C496" s="125" t="s">
        <v>30</v>
      </c>
      <c r="D496" s="133"/>
      <c r="E496" s="15">
        <f>Расч.!E35</f>
        <v>240.68</v>
      </c>
      <c r="F496" s="537">
        <f t="shared" ref="F496:F497" si="298">G496+H496</f>
        <v>0</v>
      </c>
      <c r="G496" s="538"/>
      <c r="H496" s="537"/>
      <c r="I496" s="537">
        <f t="shared" ref="I496:I497" si="299">J496+K496</f>
        <v>0</v>
      </c>
      <c r="J496" s="539">
        <f>G496*E496</f>
        <v>0</v>
      </c>
      <c r="K496" s="537"/>
      <c r="L496" s="112"/>
      <c r="N496" s="10"/>
    </row>
    <row r="497" spans="1:14" x14ac:dyDescent="0.25">
      <c r="A497" s="198">
        <v>470</v>
      </c>
      <c r="B497" s="138" t="s">
        <v>26</v>
      </c>
      <c r="C497" s="102" t="s">
        <v>27</v>
      </c>
      <c r="D497" s="137">
        <v>5.0000000000000001E-3</v>
      </c>
      <c r="E497" s="11">
        <f>D497*E496</f>
        <v>1.2</v>
      </c>
      <c r="F497" s="11">
        <f t="shared" si="298"/>
        <v>0</v>
      </c>
      <c r="G497" s="11"/>
      <c r="H497" s="540"/>
      <c r="I497" s="11">
        <f t="shared" si="299"/>
        <v>0</v>
      </c>
      <c r="J497" s="11"/>
      <c r="K497" s="11">
        <f>H497*E497</f>
        <v>0</v>
      </c>
      <c r="L497" s="106" t="s">
        <v>15</v>
      </c>
      <c r="N497" s="10"/>
    </row>
    <row r="498" spans="1:14" ht="47.25" x14ac:dyDescent="0.25">
      <c r="A498" s="534">
        <v>471</v>
      </c>
      <c r="B498" s="108" t="s">
        <v>83</v>
      </c>
      <c r="C498" s="121" t="s">
        <v>1</v>
      </c>
      <c r="D498" s="110"/>
      <c r="E498" s="15">
        <f>Расч.!E32+Расч.!E35*0.3</f>
        <v>638.26</v>
      </c>
      <c r="F498" s="537">
        <f t="shared" ref="F498:F499" si="300">G498+H498</f>
        <v>0</v>
      </c>
      <c r="G498" s="538"/>
      <c r="H498" s="537"/>
      <c r="I498" s="537">
        <f t="shared" ref="I498:I499" si="301">J498+K498</f>
        <v>0</v>
      </c>
      <c r="J498" s="539">
        <f>G498*E498</f>
        <v>0</v>
      </c>
      <c r="K498" s="537"/>
      <c r="L498" s="112"/>
      <c r="N498" s="10"/>
    </row>
    <row r="499" spans="1:14" ht="31.5" x14ac:dyDescent="0.25">
      <c r="A499" s="198">
        <v>472</v>
      </c>
      <c r="B499" s="107" t="s">
        <v>84</v>
      </c>
      <c r="C499" s="104" t="s">
        <v>25</v>
      </c>
      <c r="D499" s="105">
        <v>0.35</v>
      </c>
      <c r="E499" s="11">
        <f>E498*D499</f>
        <v>223.39</v>
      </c>
      <c r="F499" s="11">
        <f t="shared" si="300"/>
        <v>0</v>
      </c>
      <c r="G499" s="11"/>
      <c r="H499" s="540"/>
      <c r="I499" s="11">
        <f t="shared" si="301"/>
        <v>0</v>
      </c>
      <c r="J499" s="11"/>
      <c r="K499" s="11">
        <f>H499*E499</f>
        <v>0</v>
      </c>
      <c r="L499" s="114" t="s">
        <v>15</v>
      </c>
      <c r="N499" s="10"/>
    </row>
    <row r="500" spans="1:14" ht="31.5" x14ac:dyDescent="0.25">
      <c r="A500" s="534">
        <v>473</v>
      </c>
      <c r="B500" s="108" t="s">
        <v>58</v>
      </c>
      <c r="C500" s="121" t="s">
        <v>1</v>
      </c>
      <c r="D500" s="110"/>
      <c r="E500" s="15">
        <f>Расч.!E32</f>
        <v>566.05999999999995</v>
      </c>
      <c r="F500" s="537">
        <f t="shared" ref="F500:F503" si="302">G500+H500</f>
        <v>0</v>
      </c>
      <c r="G500" s="538"/>
      <c r="H500" s="537"/>
      <c r="I500" s="537">
        <f t="shared" ref="I500:I503" si="303">J500+K500</f>
        <v>0</v>
      </c>
      <c r="J500" s="539">
        <f>G500*E500</f>
        <v>0</v>
      </c>
      <c r="K500" s="537"/>
      <c r="L500" s="112"/>
      <c r="N500" s="10"/>
    </row>
    <row r="501" spans="1:14" x14ac:dyDescent="0.25">
      <c r="A501" s="198">
        <v>474</v>
      </c>
      <c r="B501" s="363" t="s">
        <v>68</v>
      </c>
      <c r="C501" s="364" t="s">
        <v>1</v>
      </c>
      <c r="D501" s="365">
        <v>1.1599999999999999</v>
      </c>
      <c r="E501" s="11">
        <f>E500*D501</f>
        <v>656.63</v>
      </c>
      <c r="F501" s="11">
        <f t="shared" si="302"/>
        <v>0</v>
      </c>
      <c r="G501" s="11"/>
      <c r="H501" s="540"/>
      <c r="I501" s="11">
        <f t="shared" si="303"/>
        <v>0</v>
      </c>
      <c r="J501" s="11"/>
      <c r="K501" s="11">
        <f>H501*E501</f>
        <v>0</v>
      </c>
      <c r="L501" s="114" t="s">
        <v>15</v>
      </c>
      <c r="N501" s="10"/>
    </row>
    <row r="502" spans="1:14" x14ac:dyDescent="0.25">
      <c r="A502" s="198">
        <v>475</v>
      </c>
      <c r="B502" s="363" t="s">
        <v>219</v>
      </c>
      <c r="C502" s="364" t="s">
        <v>1</v>
      </c>
      <c r="D502" s="365">
        <v>1.1399999999999999</v>
      </c>
      <c r="E502" s="11">
        <f>E500*D502</f>
        <v>645.30999999999995</v>
      </c>
      <c r="F502" s="11">
        <f t="shared" si="302"/>
        <v>0</v>
      </c>
      <c r="G502" s="11"/>
      <c r="H502" s="540"/>
      <c r="I502" s="11">
        <f t="shared" si="303"/>
        <v>0</v>
      </c>
      <c r="J502" s="11"/>
      <c r="K502" s="11">
        <f>H502*E502</f>
        <v>0</v>
      </c>
      <c r="L502" s="114" t="s">
        <v>15</v>
      </c>
      <c r="N502" s="10"/>
    </row>
    <row r="503" spans="1:14" x14ac:dyDescent="0.25">
      <c r="A503" s="198">
        <v>476</v>
      </c>
      <c r="B503" s="363" t="s">
        <v>28</v>
      </c>
      <c r="C503" s="366" t="s">
        <v>3</v>
      </c>
      <c r="D503" s="358">
        <v>0.6</v>
      </c>
      <c r="E503" s="11">
        <f>E500*D503</f>
        <v>339.64</v>
      </c>
      <c r="F503" s="11">
        <f t="shared" si="302"/>
        <v>0</v>
      </c>
      <c r="G503" s="11"/>
      <c r="H503" s="540"/>
      <c r="I503" s="11">
        <f t="shared" si="303"/>
        <v>0</v>
      </c>
      <c r="J503" s="11"/>
      <c r="K503" s="11">
        <f>H503*E503</f>
        <v>0</v>
      </c>
      <c r="L503" s="106" t="s">
        <v>15</v>
      </c>
      <c r="N503" s="10"/>
    </row>
    <row r="504" spans="1:14" ht="31.5" x14ac:dyDescent="0.25">
      <c r="A504" s="534">
        <v>477</v>
      </c>
      <c r="B504" s="108" t="s">
        <v>35</v>
      </c>
      <c r="C504" s="121" t="s">
        <v>30</v>
      </c>
      <c r="D504" s="110"/>
      <c r="E504" s="15">
        <f>Расч.!E35</f>
        <v>240.68</v>
      </c>
      <c r="F504" s="537">
        <f t="shared" ref="F504:F511" si="304">G504+H504</f>
        <v>0</v>
      </c>
      <c r="G504" s="538"/>
      <c r="H504" s="537"/>
      <c r="I504" s="537">
        <f t="shared" ref="I504:I511" si="305">J504+K504</f>
        <v>0</v>
      </c>
      <c r="J504" s="539">
        <f>G504*E504</f>
        <v>0</v>
      </c>
      <c r="K504" s="537"/>
      <c r="L504" s="112"/>
      <c r="N504" s="10"/>
    </row>
    <row r="505" spans="1:14" x14ac:dyDescent="0.25">
      <c r="A505" s="198">
        <v>478</v>
      </c>
      <c r="B505" s="363" t="s">
        <v>68</v>
      </c>
      <c r="C505" s="364" t="s">
        <v>1</v>
      </c>
      <c r="D505" s="365">
        <v>1.1599999999999999</v>
      </c>
      <c r="E505" s="11">
        <f>E504*0.5*D505</f>
        <v>139.59</v>
      </c>
      <c r="F505" s="11">
        <f t="shared" si="304"/>
        <v>0</v>
      </c>
      <c r="G505" s="11"/>
      <c r="H505" s="540"/>
      <c r="I505" s="11">
        <f t="shared" si="305"/>
        <v>0</v>
      </c>
      <c r="J505" s="11"/>
      <c r="K505" s="11">
        <f>H505*E505</f>
        <v>0</v>
      </c>
      <c r="L505" s="106" t="s">
        <v>15</v>
      </c>
      <c r="N505" s="10"/>
    </row>
    <row r="506" spans="1:14" x14ac:dyDescent="0.25">
      <c r="A506" s="198">
        <v>479</v>
      </c>
      <c r="B506" s="363" t="s">
        <v>219</v>
      </c>
      <c r="C506" s="364" t="s">
        <v>1</v>
      </c>
      <c r="D506" s="365">
        <v>1.1399999999999999</v>
      </c>
      <c r="E506" s="11">
        <f>E504*0.4*D506</f>
        <v>109.75</v>
      </c>
      <c r="F506" s="11">
        <f t="shared" si="304"/>
        <v>0</v>
      </c>
      <c r="G506" s="11"/>
      <c r="H506" s="540"/>
      <c r="I506" s="11">
        <f t="shared" si="305"/>
        <v>0</v>
      </c>
      <c r="J506" s="11"/>
      <c r="K506" s="11">
        <f>H506*E506</f>
        <v>0</v>
      </c>
      <c r="L506" s="106" t="s">
        <v>15</v>
      </c>
      <c r="N506" s="10"/>
    </row>
    <row r="507" spans="1:14" x14ac:dyDescent="0.25">
      <c r="A507" s="198">
        <v>480</v>
      </c>
      <c r="B507" s="363" t="s">
        <v>86</v>
      </c>
      <c r="C507" s="364" t="s">
        <v>27</v>
      </c>
      <c r="D507" s="365">
        <v>1.1399999999999999</v>
      </c>
      <c r="E507" s="11">
        <f>E504*0.25*D507</f>
        <v>68.59</v>
      </c>
      <c r="F507" s="11">
        <f t="shared" si="304"/>
        <v>0</v>
      </c>
      <c r="G507" s="11"/>
      <c r="H507" s="540"/>
      <c r="I507" s="11">
        <f t="shared" si="305"/>
        <v>0</v>
      </c>
      <c r="J507" s="11"/>
      <c r="K507" s="11">
        <f>H507*E507</f>
        <v>0</v>
      </c>
      <c r="L507" s="106" t="s">
        <v>15</v>
      </c>
      <c r="N507" s="10"/>
    </row>
    <row r="508" spans="1:14" x14ac:dyDescent="0.25">
      <c r="A508" s="198">
        <v>481</v>
      </c>
      <c r="B508" s="107" t="s">
        <v>28</v>
      </c>
      <c r="C508" s="175" t="s">
        <v>3</v>
      </c>
      <c r="D508" s="105">
        <v>0.6</v>
      </c>
      <c r="E508" s="11">
        <f>E504*D508</f>
        <v>144.41</v>
      </c>
      <c r="F508" s="11">
        <f t="shared" si="304"/>
        <v>0</v>
      </c>
      <c r="G508" s="11"/>
      <c r="H508" s="540"/>
      <c r="I508" s="11">
        <f t="shared" si="305"/>
        <v>0</v>
      </c>
      <c r="J508" s="11"/>
      <c r="K508" s="11">
        <f>H508*E508</f>
        <v>0</v>
      </c>
      <c r="L508" s="106" t="s">
        <v>15</v>
      </c>
      <c r="N508" s="10"/>
    </row>
    <row r="509" spans="1:14" ht="31.5" x14ac:dyDescent="0.25">
      <c r="A509" s="198">
        <v>482</v>
      </c>
      <c r="B509" s="107" t="s">
        <v>43</v>
      </c>
      <c r="C509" s="176" t="s">
        <v>2</v>
      </c>
      <c r="D509" s="105">
        <v>1.03</v>
      </c>
      <c r="E509" s="11">
        <f>E504*D509</f>
        <v>247.9</v>
      </c>
      <c r="F509" s="11">
        <f t="shared" si="304"/>
        <v>0</v>
      </c>
      <c r="G509" s="11"/>
      <c r="H509" s="540"/>
      <c r="I509" s="11">
        <f t="shared" si="305"/>
        <v>0</v>
      </c>
      <c r="J509" s="11"/>
      <c r="K509" s="11">
        <f>H509*E509</f>
        <v>0</v>
      </c>
      <c r="L509" s="106" t="s">
        <v>15</v>
      </c>
      <c r="N509" s="10"/>
    </row>
    <row r="510" spans="1:14" x14ac:dyDescent="0.25">
      <c r="A510" s="198">
        <v>483</v>
      </c>
      <c r="B510" s="107" t="s">
        <v>31</v>
      </c>
      <c r="C510" s="177" t="s">
        <v>0</v>
      </c>
      <c r="D510" s="105">
        <v>5</v>
      </c>
      <c r="E510" s="11">
        <f>ROUND(E504*D510,0)</f>
        <v>1203</v>
      </c>
      <c r="F510" s="11">
        <f t="shared" si="304"/>
        <v>0</v>
      </c>
      <c r="G510" s="11"/>
      <c r="H510" s="540"/>
      <c r="I510" s="11">
        <f t="shared" si="305"/>
        <v>0</v>
      </c>
      <c r="J510" s="11"/>
      <c r="K510" s="11">
        <f>H510*E510</f>
        <v>0</v>
      </c>
      <c r="L510" s="106" t="s">
        <v>15</v>
      </c>
      <c r="N510" s="10"/>
    </row>
    <row r="511" spans="1:14" ht="31.5" x14ac:dyDescent="0.25">
      <c r="A511" s="198">
        <v>484</v>
      </c>
      <c r="B511" s="107" t="s">
        <v>69</v>
      </c>
      <c r="C511" s="178" t="s">
        <v>0</v>
      </c>
      <c r="D511" s="105">
        <v>0.15</v>
      </c>
      <c r="E511" s="11">
        <f>ROUND(E504*D511,0)</f>
        <v>36</v>
      </c>
      <c r="F511" s="11">
        <f t="shared" si="304"/>
        <v>0</v>
      </c>
      <c r="G511" s="11"/>
      <c r="H511" s="540"/>
      <c r="I511" s="11">
        <f t="shared" si="305"/>
        <v>0</v>
      </c>
      <c r="J511" s="11"/>
      <c r="K511" s="11">
        <f>H511*E511</f>
        <v>0</v>
      </c>
      <c r="L511" s="106" t="s">
        <v>15</v>
      </c>
      <c r="N511" s="10"/>
    </row>
    <row r="512" spans="1:14" x14ac:dyDescent="0.25">
      <c r="A512" s="534">
        <v>485</v>
      </c>
      <c r="B512" s="108" t="s">
        <v>32</v>
      </c>
      <c r="C512" s="121" t="s">
        <v>0</v>
      </c>
      <c r="D512" s="110"/>
      <c r="E512" s="15">
        <v>3</v>
      </c>
      <c r="F512" s="537">
        <f t="shared" ref="F512:F513" si="306">G512+H512</f>
        <v>0</v>
      </c>
      <c r="G512" s="538"/>
      <c r="H512" s="537"/>
      <c r="I512" s="537">
        <f t="shared" ref="I512:I513" si="307">J512+K512</f>
        <v>0</v>
      </c>
      <c r="J512" s="539">
        <f>G512*E512</f>
        <v>0</v>
      </c>
      <c r="K512" s="537"/>
      <c r="L512" s="112"/>
      <c r="N512" s="10"/>
    </row>
    <row r="513" spans="1:14" ht="63" x14ac:dyDescent="0.25">
      <c r="A513" s="198">
        <v>486</v>
      </c>
      <c r="B513" s="363" t="s">
        <v>220</v>
      </c>
      <c r="C513" s="104" t="s">
        <v>0</v>
      </c>
      <c r="D513" s="105">
        <v>1</v>
      </c>
      <c r="E513" s="11">
        <f>E512</f>
        <v>3</v>
      </c>
      <c r="F513" s="11">
        <f t="shared" si="306"/>
        <v>0</v>
      </c>
      <c r="G513" s="11"/>
      <c r="H513" s="540"/>
      <c r="I513" s="11">
        <f t="shared" si="307"/>
        <v>0</v>
      </c>
      <c r="J513" s="11"/>
      <c r="K513" s="11">
        <f>H513*E513</f>
        <v>0</v>
      </c>
      <c r="L513" s="106" t="s">
        <v>15</v>
      </c>
      <c r="N513" s="10"/>
    </row>
    <row r="514" spans="1:14" x14ac:dyDescent="0.25">
      <c r="A514" s="534">
        <v>487</v>
      </c>
      <c r="B514" s="108" t="s">
        <v>55</v>
      </c>
      <c r="C514" s="121" t="s">
        <v>0</v>
      </c>
      <c r="D514" s="110"/>
      <c r="E514" s="15">
        <f>1</f>
        <v>1</v>
      </c>
      <c r="F514" s="537">
        <f t="shared" ref="F514:F515" si="308">G514+H514</f>
        <v>0</v>
      </c>
      <c r="G514" s="538"/>
      <c r="H514" s="537"/>
      <c r="I514" s="537">
        <f t="shared" ref="I514:I515" si="309">J514+K514</f>
        <v>0</v>
      </c>
      <c r="J514" s="539">
        <f>G514*E514</f>
        <v>0</v>
      </c>
      <c r="K514" s="537"/>
      <c r="L514" s="112"/>
      <c r="N514" s="10"/>
    </row>
    <row r="515" spans="1:14" ht="31.5" x14ac:dyDescent="0.25">
      <c r="A515" s="198">
        <v>488</v>
      </c>
      <c r="B515" s="363" t="s">
        <v>235</v>
      </c>
      <c r="C515" s="104" t="s">
        <v>0</v>
      </c>
      <c r="D515" s="105">
        <v>1</v>
      </c>
      <c r="E515" s="11">
        <f>E514</f>
        <v>1</v>
      </c>
      <c r="F515" s="11">
        <f t="shared" si="308"/>
        <v>0</v>
      </c>
      <c r="G515" s="11"/>
      <c r="H515" s="540"/>
      <c r="I515" s="11">
        <f t="shared" si="309"/>
        <v>0</v>
      </c>
      <c r="J515" s="11"/>
      <c r="K515" s="11">
        <f>H515*E515</f>
        <v>0</v>
      </c>
      <c r="L515" s="106" t="s">
        <v>15</v>
      </c>
      <c r="N515" s="10"/>
    </row>
    <row r="516" spans="1:14" x14ac:dyDescent="0.25">
      <c r="A516" s="534">
        <v>489</v>
      </c>
      <c r="B516" s="108" t="s">
        <v>52</v>
      </c>
      <c r="C516" s="121" t="s">
        <v>0</v>
      </c>
      <c r="D516" s="110"/>
      <c r="E516" s="15">
        <v>4</v>
      </c>
      <c r="F516" s="537">
        <f t="shared" ref="F516:F517" si="310">G516+H516</f>
        <v>0</v>
      </c>
      <c r="G516" s="538"/>
      <c r="H516" s="537"/>
      <c r="I516" s="537">
        <f t="shared" ref="I516:I517" si="311">J516+K516</f>
        <v>0</v>
      </c>
      <c r="J516" s="539">
        <f>G516*E516</f>
        <v>0</v>
      </c>
      <c r="K516" s="537"/>
      <c r="L516" s="112"/>
      <c r="N516" s="10"/>
    </row>
    <row r="517" spans="1:14" x14ac:dyDescent="0.25">
      <c r="A517" s="198">
        <v>490</v>
      </c>
      <c r="B517" s="363" t="s">
        <v>236</v>
      </c>
      <c r="C517" s="104" t="s">
        <v>0</v>
      </c>
      <c r="D517" s="105">
        <v>1</v>
      </c>
      <c r="E517" s="11">
        <f>E516</f>
        <v>4</v>
      </c>
      <c r="F517" s="11">
        <f t="shared" si="310"/>
        <v>0</v>
      </c>
      <c r="G517" s="11"/>
      <c r="H517" s="540"/>
      <c r="I517" s="11">
        <f t="shared" si="311"/>
        <v>0</v>
      </c>
      <c r="J517" s="11"/>
      <c r="K517" s="11">
        <f>H517*E517</f>
        <v>0</v>
      </c>
      <c r="L517" s="106" t="s">
        <v>15</v>
      </c>
      <c r="N517" s="10"/>
    </row>
    <row r="518" spans="1:14" ht="31.5" x14ac:dyDescent="0.25">
      <c r="A518" s="534">
        <v>491</v>
      </c>
      <c r="B518" s="108" t="s">
        <v>62</v>
      </c>
      <c r="C518" s="121" t="s">
        <v>0</v>
      </c>
      <c r="D518" s="110"/>
      <c r="E518" s="15">
        <v>17</v>
      </c>
      <c r="F518" s="537">
        <f t="shared" ref="F518:F521" si="312">G518+H518</f>
        <v>0</v>
      </c>
      <c r="G518" s="538"/>
      <c r="H518" s="537"/>
      <c r="I518" s="537">
        <f t="shared" ref="I518:I521" si="313">J518+K518</f>
        <v>0</v>
      </c>
      <c r="J518" s="539">
        <f>G518*E518</f>
        <v>0</v>
      </c>
      <c r="K518" s="537"/>
      <c r="L518" s="112"/>
      <c r="N518" s="10"/>
    </row>
    <row r="519" spans="1:14" ht="31.5" x14ac:dyDescent="0.25">
      <c r="A519" s="198">
        <v>492</v>
      </c>
      <c r="B519" s="107" t="s">
        <v>69</v>
      </c>
      <c r="C519" s="104" t="s">
        <v>0</v>
      </c>
      <c r="D519" s="105">
        <v>0.15</v>
      </c>
      <c r="E519" s="11">
        <f>ROUND(D519*E518,0)</f>
        <v>3</v>
      </c>
      <c r="F519" s="11">
        <f t="shared" si="312"/>
        <v>0</v>
      </c>
      <c r="G519" s="11"/>
      <c r="H519" s="540"/>
      <c r="I519" s="11">
        <f t="shared" si="313"/>
        <v>0</v>
      </c>
      <c r="J519" s="11"/>
      <c r="K519" s="11">
        <f>H519*E519</f>
        <v>0</v>
      </c>
      <c r="L519" s="106" t="s">
        <v>15</v>
      </c>
      <c r="N519" s="10"/>
    </row>
    <row r="520" spans="1:14" ht="31.5" x14ac:dyDescent="0.25">
      <c r="A520" s="198">
        <v>493</v>
      </c>
      <c r="B520" s="107" t="s">
        <v>66</v>
      </c>
      <c r="C520" s="104" t="s">
        <v>0</v>
      </c>
      <c r="D520" s="105">
        <v>1</v>
      </c>
      <c r="E520" s="11">
        <f>E518*D520</f>
        <v>17</v>
      </c>
      <c r="F520" s="11">
        <f t="shared" si="312"/>
        <v>0</v>
      </c>
      <c r="G520" s="11"/>
      <c r="H520" s="540"/>
      <c r="I520" s="11">
        <f t="shared" si="313"/>
        <v>0</v>
      </c>
      <c r="J520" s="11"/>
      <c r="K520" s="11">
        <f>H520*E520</f>
        <v>0</v>
      </c>
      <c r="L520" s="106" t="s">
        <v>15</v>
      </c>
      <c r="N520" s="10"/>
    </row>
    <row r="521" spans="1:14" x14ac:dyDescent="0.25">
      <c r="A521" s="198">
        <v>494</v>
      </c>
      <c r="B521" s="107" t="s">
        <v>87</v>
      </c>
      <c r="C521" s="104" t="s">
        <v>0</v>
      </c>
      <c r="D521" s="105">
        <v>1</v>
      </c>
      <c r="E521" s="11">
        <f>E518*D521</f>
        <v>17</v>
      </c>
      <c r="F521" s="11">
        <f t="shared" si="312"/>
        <v>0</v>
      </c>
      <c r="G521" s="11"/>
      <c r="H521" s="540"/>
      <c r="I521" s="11">
        <f t="shared" si="313"/>
        <v>0</v>
      </c>
      <c r="J521" s="11"/>
      <c r="K521" s="11">
        <f>H521*E521</f>
        <v>0</v>
      </c>
      <c r="L521" s="106" t="s">
        <v>15</v>
      </c>
      <c r="N521" s="10"/>
    </row>
    <row r="522" spans="1:14" ht="31.5" x14ac:dyDescent="0.25">
      <c r="A522" s="534">
        <v>495</v>
      </c>
      <c r="B522" s="108" t="s">
        <v>88</v>
      </c>
      <c r="C522" s="121" t="s">
        <v>0</v>
      </c>
      <c r="D522" s="110"/>
      <c r="E522" s="15">
        <v>5</v>
      </c>
      <c r="F522" s="537">
        <f t="shared" ref="F522:F525" si="314">G522+H522</f>
        <v>0</v>
      </c>
      <c r="G522" s="538"/>
      <c r="H522" s="537"/>
      <c r="I522" s="537">
        <f t="shared" ref="I522:I525" si="315">J522+K522</f>
        <v>0</v>
      </c>
      <c r="J522" s="539">
        <f>G522*E522</f>
        <v>0</v>
      </c>
      <c r="K522" s="537"/>
      <c r="L522" s="112"/>
      <c r="N522" s="10"/>
    </row>
    <row r="523" spans="1:14" x14ac:dyDescent="0.25">
      <c r="A523" s="198">
        <v>496</v>
      </c>
      <c r="B523" s="107" t="s">
        <v>89</v>
      </c>
      <c r="C523" s="104" t="s">
        <v>0</v>
      </c>
      <c r="D523" s="105">
        <v>1</v>
      </c>
      <c r="E523" s="11">
        <f>E522*D523</f>
        <v>5</v>
      </c>
      <c r="F523" s="11">
        <f t="shared" si="314"/>
        <v>0</v>
      </c>
      <c r="G523" s="11"/>
      <c r="H523" s="540"/>
      <c r="I523" s="11">
        <f t="shared" si="315"/>
        <v>0</v>
      </c>
      <c r="J523" s="11"/>
      <c r="K523" s="11">
        <f>H523*E523</f>
        <v>0</v>
      </c>
      <c r="L523" s="106" t="s">
        <v>15</v>
      </c>
      <c r="N523" s="10"/>
    </row>
    <row r="524" spans="1:14" x14ac:dyDescent="0.25">
      <c r="A524" s="198">
        <v>497</v>
      </c>
      <c r="B524" s="107" t="s">
        <v>87</v>
      </c>
      <c r="C524" s="104" t="s">
        <v>0</v>
      </c>
      <c r="D524" s="105">
        <v>1</v>
      </c>
      <c r="E524" s="11">
        <f>E522*D524</f>
        <v>5</v>
      </c>
      <c r="F524" s="11">
        <f t="shared" si="314"/>
        <v>0</v>
      </c>
      <c r="G524" s="11"/>
      <c r="H524" s="540"/>
      <c r="I524" s="11">
        <f t="shared" si="315"/>
        <v>0</v>
      </c>
      <c r="J524" s="11"/>
      <c r="K524" s="11">
        <f>H524*E524</f>
        <v>0</v>
      </c>
      <c r="L524" s="106" t="s">
        <v>15</v>
      </c>
      <c r="N524" s="10"/>
    </row>
    <row r="525" spans="1:14" ht="31.5" x14ac:dyDescent="0.25">
      <c r="A525" s="198">
        <v>498</v>
      </c>
      <c r="B525" s="107" t="s">
        <v>90</v>
      </c>
      <c r="C525" s="104" t="s">
        <v>0</v>
      </c>
      <c r="D525" s="105">
        <v>0.15</v>
      </c>
      <c r="E525" s="11">
        <f>ROUNDUP(E522*D525,0)</f>
        <v>1</v>
      </c>
      <c r="F525" s="11">
        <f t="shared" si="314"/>
        <v>0</v>
      </c>
      <c r="G525" s="11"/>
      <c r="H525" s="540"/>
      <c r="I525" s="11">
        <f t="shared" si="315"/>
        <v>0</v>
      </c>
      <c r="J525" s="11"/>
      <c r="K525" s="11">
        <f>H525*E525</f>
        <v>0</v>
      </c>
      <c r="L525" s="106" t="s">
        <v>15</v>
      </c>
      <c r="N525" s="10"/>
    </row>
    <row r="526" spans="1:14" x14ac:dyDescent="0.25">
      <c r="A526" s="534">
        <v>499</v>
      </c>
      <c r="B526" s="108" t="s">
        <v>67</v>
      </c>
      <c r="C526" s="121" t="s">
        <v>0</v>
      </c>
      <c r="D526" s="110"/>
      <c r="E526" s="15">
        <v>1</v>
      </c>
      <c r="F526" s="537">
        <f t="shared" ref="F526:F529" si="316">G526+H526</f>
        <v>0</v>
      </c>
      <c r="G526" s="538"/>
      <c r="H526" s="537"/>
      <c r="I526" s="537">
        <f t="shared" ref="I526:I529" si="317">J526+K526</f>
        <v>0</v>
      </c>
      <c r="J526" s="539">
        <f>G526*E526</f>
        <v>0</v>
      </c>
      <c r="K526" s="537"/>
      <c r="L526" s="112"/>
      <c r="N526" s="10"/>
    </row>
    <row r="527" spans="1:14" x14ac:dyDescent="0.25">
      <c r="A527" s="198">
        <v>500</v>
      </c>
      <c r="B527" s="107" t="s">
        <v>121</v>
      </c>
      <c r="C527" s="104" t="s">
        <v>0</v>
      </c>
      <c r="D527" s="105">
        <v>1</v>
      </c>
      <c r="E527" s="11">
        <f>E526*D527</f>
        <v>1</v>
      </c>
      <c r="F527" s="11">
        <f t="shared" si="316"/>
        <v>0</v>
      </c>
      <c r="G527" s="11"/>
      <c r="H527" s="540"/>
      <c r="I527" s="11">
        <f t="shared" si="317"/>
        <v>0</v>
      </c>
      <c r="J527" s="11"/>
      <c r="K527" s="11">
        <f>H527*E527</f>
        <v>0</v>
      </c>
      <c r="L527" s="106" t="s">
        <v>15</v>
      </c>
      <c r="N527" s="10"/>
    </row>
    <row r="528" spans="1:14" x14ac:dyDescent="0.25">
      <c r="A528" s="198">
        <v>501</v>
      </c>
      <c r="B528" s="107" t="s">
        <v>122</v>
      </c>
      <c r="C528" s="104" t="s">
        <v>0</v>
      </c>
      <c r="D528" s="105">
        <v>1</v>
      </c>
      <c r="E528" s="11">
        <f>E526*D528</f>
        <v>1</v>
      </c>
      <c r="F528" s="11">
        <f t="shared" si="316"/>
        <v>0</v>
      </c>
      <c r="G528" s="11"/>
      <c r="H528" s="540"/>
      <c r="I528" s="11">
        <f t="shared" si="317"/>
        <v>0</v>
      </c>
      <c r="J528" s="11"/>
      <c r="K528" s="11">
        <f>H528*E528</f>
        <v>0</v>
      </c>
      <c r="L528" s="106" t="s">
        <v>15</v>
      </c>
      <c r="N528" s="10"/>
    </row>
    <row r="529" spans="1:14" x14ac:dyDescent="0.25">
      <c r="A529" s="198">
        <v>502</v>
      </c>
      <c r="B529" s="107" t="s">
        <v>33</v>
      </c>
      <c r="C529" s="104" t="s">
        <v>0</v>
      </c>
      <c r="D529" s="105">
        <v>3</v>
      </c>
      <c r="E529" s="11">
        <f>E526*D529</f>
        <v>3</v>
      </c>
      <c r="F529" s="11">
        <f t="shared" si="316"/>
        <v>0</v>
      </c>
      <c r="G529" s="11"/>
      <c r="H529" s="540"/>
      <c r="I529" s="11">
        <f t="shared" si="317"/>
        <v>0</v>
      </c>
      <c r="J529" s="11"/>
      <c r="K529" s="11">
        <f>H529*E529</f>
        <v>0</v>
      </c>
      <c r="L529" s="106" t="s">
        <v>15</v>
      </c>
      <c r="N529" s="10"/>
    </row>
    <row r="530" spans="1:14" x14ac:dyDescent="0.25">
      <c r="A530" s="534">
        <v>503</v>
      </c>
      <c r="B530" s="108" t="s">
        <v>59</v>
      </c>
      <c r="C530" s="121" t="s">
        <v>30</v>
      </c>
      <c r="D530" s="110"/>
      <c r="E530" s="15">
        <f>Расч.!P131</f>
        <v>88.2</v>
      </c>
      <c r="F530" s="537">
        <f t="shared" ref="F530:F533" si="318">G530+H530</f>
        <v>0</v>
      </c>
      <c r="G530" s="538"/>
      <c r="H530" s="537"/>
      <c r="I530" s="537">
        <f t="shared" ref="I530:I533" si="319">J530+K530</f>
        <v>0</v>
      </c>
      <c r="J530" s="539">
        <f>G530*E530</f>
        <v>0</v>
      </c>
      <c r="K530" s="537"/>
      <c r="L530" s="112"/>
      <c r="N530" s="10"/>
    </row>
    <row r="531" spans="1:14" x14ac:dyDescent="0.25">
      <c r="A531" s="198">
        <v>504</v>
      </c>
      <c r="B531" s="107" t="s">
        <v>31</v>
      </c>
      <c r="C531" s="105" t="s">
        <v>0</v>
      </c>
      <c r="D531" s="105">
        <v>5</v>
      </c>
      <c r="E531" s="77">
        <f>ROUND(E530*D531,0)</f>
        <v>441</v>
      </c>
      <c r="F531" s="11">
        <f t="shared" si="318"/>
        <v>0</v>
      </c>
      <c r="G531" s="11"/>
      <c r="H531" s="540"/>
      <c r="I531" s="11">
        <f t="shared" si="319"/>
        <v>0</v>
      </c>
      <c r="J531" s="11"/>
      <c r="K531" s="11">
        <f>H531*E531</f>
        <v>0</v>
      </c>
      <c r="L531" s="106" t="s">
        <v>15</v>
      </c>
      <c r="N531" s="10"/>
    </row>
    <row r="532" spans="1:14" ht="47.25" x14ac:dyDescent="0.25">
      <c r="A532" s="198">
        <v>505</v>
      </c>
      <c r="B532" s="107" t="s">
        <v>142</v>
      </c>
      <c r="C532" s="104" t="s">
        <v>2</v>
      </c>
      <c r="D532" s="105">
        <v>1.1000000000000001</v>
      </c>
      <c r="E532" s="11">
        <f>E530*D532</f>
        <v>97.02</v>
      </c>
      <c r="F532" s="11">
        <f t="shared" si="318"/>
        <v>0</v>
      </c>
      <c r="G532" s="11"/>
      <c r="H532" s="540"/>
      <c r="I532" s="11">
        <f t="shared" si="319"/>
        <v>0</v>
      </c>
      <c r="J532" s="11"/>
      <c r="K532" s="11">
        <f>H532*E532</f>
        <v>0</v>
      </c>
      <c r="L532" s="106" t="s">
        <v>15</v>
      </c>
      <c r="N532" s="10"/>
    </row>
    <row r="533" spans="1:14" x14ac:dyDescent="0.25">
      <c r="A533" s="198">
        <v>506</v>
      </c>
      <c r="B533" s="107" t="s">
        <v>34</v>
      </c>
      <c r="C533" s="104" t="s">
        <v>0</v>
      </c>
      <c r="D533" s="105">
        <v>1.66</v>
      </c>
      <c r="E533" s="11">
        <f>ROUND(E530*D533,0)</f>
        <v>146</v>
      </c>
      <c r="F533" s="11">
        <f t="shared" si="318"/>
        <v>0</v>
      </c>
      <c r="G533" s="11"/>
      <c r="H533" s="540"/>
      <c r="I533" s="11">
        <f t="shared" si="319"/>
        <v>0</v>
      </c>
      <c r="J533" s="11"/>
      <c r="K533" s="11">
        <f>H533*E533</f>
        <v>0</v>
      </c>
      <c r="L533" s="106" t="s">
        <v>15</v>
      </c>
      <c r="N533" s="10"/>
    </row>
    <row r="534" spans="1:14" x14ac:dyDescent="0.25">
      <c r="A534" s="534">
        <v>507</v>
      </c>
      <c r="B534" s="203" t="s">
        <v>65</v>
      </c>
      <c r="C534" s="204" t="s">
        <v>30</v>
      </c>
      <c r="D534" s="205"/>
      <c r="E534" s="15">
        <f>Расч.!P134</f>
        <v>1.5</v>
      </c>
      <c r="F534" s="537">
        <f t="shared" ref="F534:F536" si="320">G534+H534</f>
        <v>0</v>
      </c>
      <c r="G534" s="538"/>
      <c r="H534" s="537"/>
      <c r="I534" s="537">
        <f t="shared" ref="I534:I536" si="321">J534+K534</f>
        <v>0</v>
      </c>
      <c r="J534" s="539">
        <f>G534*E534</f>
        <v>0</v>
      </c>
      <c r="K534" s="537"/>
      <c r="L534" s="207"/>
      <c r="N534" s="10"/>
    </row>
    <row r="535" spans="1:14" ht="47.25" x14ac:dyDescent="0.25">
      <c r="A535" s="198">
        <v>508</v>
      </c>
      <c r="B535" s="363" t="s">
        <v>245</v>
      </c>
      <c r="C535" s="364" t="s">
        <v>2</v>
      </c>
      <c r="D535" s="365">
        <v>1.1000000000000001</v>
      </c>
      <c r="E535" s="11">
        <f>E534*D535</f>
        <v>1.65</v>
      </c>
      <c r="F535" s="11">
        <f t="shared" si="320"/>
        <v>0</v>
      </c>
      <c r="G535" s="11"/>
      <c r="H535" s="540"/>
      <c r="I535" s="11">
        <f t="shared" si="321"/>
        <v>0</v>
      </c>
      <c r="J535" s="11"/>
      <c r="K535" s="11">
        <f>H535*E535</f>
        <v>0</v>
      </c>
      <c r="L535" s="367" t="s">
        <v>144</v>
      </c>
      <c r="N535" s="10"/>
    </row>
    <row r="536" spans="1:14" x14ac:dyDescent="0.25">
      <c r="A536" s="198">
        <v>509</v>
      </c>
      <c r="B536" s="363" t="s">
        <v>31</v>
      </c>
      <c r="C536" s="365" t="s">
        <v>0</v>
      </c>
      <c r="D536" s="365">
        <v>5</v>
      </c>
      <c r="E536" s="11">
        <f>ROUND(D536*E534,0)</f>
        <v>8</v>
      </c>
      <c r="F536" s="11">
        <f t="shared" si="320"/>
        <v>0</v>
      </c>
      <c r="G536" s="11"/>
      <c r="H536" s="540"/>
      <c r="I536" s="11">
        <f t="shared" si="321"/>
        <v>0</v>
      </c>
      <c r="J536" s="11"/>
      <c r="K536" s="11">
        <f>H536*E536</f>
        <v>0</v>
      </c>
      <c r="L536" s="368" t="s">
        <v>15</v>
      </c>
      <c r="N536" s="10"/>
    </row>
    <row r="537" spans="1:14" x14ac:dyDescent="0.25">
      <c r="A537" s="534">
        <v>510</v>
      </c>
      <c r="B537" s="369" t="s">
        <v>64</v>
      </c>
      <c r="C537" s="370" t="s">
        <v>30</v>
      </c>
      <c r="D537" s="371"/>
      <c r="E537" s="15">
        <f>15.7+1.05</f>
        <v>16.75</v>
      </c>
      <c r="F537" s="537">
        <f t="shared" ref="F537:F541" si="322">G537+H537</f>
        <v>0</v>
      </c>
      <c r="G537" s="538"/>
      <c r="H537" s="537"/>
      <c r="I537" s="537">
        <f t="shared" ref="I537:I541" si="323">J537+K537</f>
        <v>0</v>
      </c>
      <c r="J537" s="539">
        <f>G537*E537</f>
        <v>0</v>
      </c>
      <c r="K537" s="537"/>
      <c r="L537" s="372"/>
      <c r="N537" s="10"/>
    </row>
    <row r="538" spans="1:14" ht="47.25" x14ac:dyDescent="0.25">
      <c r="A538" s="198">
        <v>511</v>
      </c>
      <c r="B538" s="363" t="s">
        <v>222</v>
      </c>
      <c r="C538" s="364" t="s">
        <v>2</v>
      </c>
      <c r="D538" s="365">
        <v>1.1000000000000001</v>
      </c>
      <c r="E538" s="11">
        <f>15.7*D538</f>
        <v>17.27</v>
      </c>
      <c r="F538" s="11">
        <f t="shared" si="322"/>
        <v>0</v>
      </c>
      <c r="G538" s="11"/>
      <c r="H538" s="540"/>
      <c r="I538" s="11">
        <f t="shared" si="323"/>
        <v>0</v>
      </c>
      <c r="J538" s="11"/>
      <c r="K538" s="11">
        <f>H538*E538</f>
        <v>0</v>
      </c>
      <c r="L538" s="367" t="s">
        <v>223</v>
      </c>
      <c r="N538" s="10"/>
    </row>
    <row r="539" spans="1:14" ht="47.25" x14ac:dyDescent="0.25">
      <c r="A539" s="198">
        <v>512</v>
      </c>
      <c r="B539" s="363" t="s">
        <v>237</v>
      </c>
      <c r="C539" s="364" t="s">
        <v>2</v>
      </c>
      <c r="D539" s="365">
        <v>1.1000000000000001</v>
      </c>
      <c r="E539" s="11">
        <f>1.05*D539</f>
        <v>1.1599999999999999</v>
      </c>
      <c r="F539" s="11">
        <f t="shared" si="322"/>
        <v>0</v>
      </c>
      <c r="G539" s="11"/>
      <c r="H539" s="540"/>
      <c r="I539" s="11">
        <f t="shared" si="323"/>
        <v>0</v>
      </c>
      <c r="J539" s="11"/>
      <c r="K539" s="11">
        <f>H539*E539</f>
        <v>0</v>
      </c>
      <c r="L539" s="367" t="s">
        <v>223</v>
      </c>
      <c r="N539" s="10"/>
    </row>
    <row r="540" spans="1:14" x14ac:dyDescent="0.25">
      <c r="A540" s="198">
        <v>513</v>
      </c>
      <c r="B540" s="363" t="s">
        <v>31</v>
      </c>
      <c r="C540" s="365" t="s">
        <v>0</v>
      </c>
      <c r="D540" s="365">
        <v>5</v>
      </c>
      <c r="E540" s="11">
        <f>ROUND(E537*D540,0)</f>
        <v>84</v>
      </c>
      <c r="F540" s="11">
        <f t="shared" si="322"/>
        <v>0</v>
      </c>
      <c r="G540" s="11"/>
      <c r="H540" s="540"/>
      <c r="I540" s="11">
        <f t="shared" si="323"/>
        <v>0</v>
      </c>
      <c r="J540" s="11"/>
      <c r="K540" s="11">
        <f>H540*E540</f>
        <v>0</v>
      </c>
      <c r="L540" s="368" t="s">
        <v>15</v>
      </c>
      <c r="N540" s="10"/>
    </row>
    <row r="541" spans="1:14" x14ac:dyDescent="0.25">
      <c r="A541" s="198">
        <v>514</v>
      </c>
      <c r="B541" s="363" t="s">
        <v>26</v>
      </c>
      <c r="C541" s="364" t="s">
        <v>27</v>
      </c>
      <c r="D541" s="373">
        <v>1.0149999999999999</v>
      </c>
      <c r="E541" s="11">
        <f>15.7*0.12*((0.03+0.01)/2)*D541</f>
        <v>0.04</v>
      </c>
      <c r="F541" s="11">
        <f t="shared" si="322"/>
        <v>0</v>
      </c>
      <c r="G541" s="11"/>
      <c r="H541" s="540"/>
      <c r="I541" s="11">
        <f t="shared" si="323"/>
        <v>0</v>
      </c>
      <c r="J541" s="11"/>
      <c r="K541" s="11">
        <f>H541*E541</f>
        <v>0</v>
      </c>
      <c r="L541" s="368" t="s">
        <v>15</v>
      </c>
      <c r="N541" s="10"/>
    </row>
    <row r="542" spans="1:14" ht="31.5" x14ac:dyDescent="0.25">
      <c r="A542" s="534">
        <v>515</v>
      </c>
      <c r="B542" s="179" t="s">
        <v>117</v>
      </c>
      <c r="C542" s="418" t="s">
        <v>30</v>
      </c>
      <c r="D542" s="181"/>
      <c r="E542" s="182">
        <f>Расч.!P132</f>
        <v>15.24</v>
      </c>
      <c r="F542" s="537">
        <f t="shared" ref="F542:F547" si="324">G542+H542</f>
        <v>0</v>
      </c>
      <c r="G542" s="538"/>
      <c r="H542" s="537"/>
      <c r="I542" s="537">
        <f t="shared" ref="I542:I547" si="325">J542+K542</f>
        <v>0</v>
      </c>
      <c r="J542" s="539">
        <f>G542*E542</f>
        <v>0</v>
      </c>
      <c r="K542" s="537"/>
      <c r="L542" s="183"/>
      <c r="N542" s="10"/>
    </row>
    <row r="543" spans="1:14" x14ac:dyDescent="0.25">
      <c r="A543" s="198">
        <v>516</v>
      </c>
      <c r="B543" s="184" t="s">
        <v>31</v>
      </c>
      <c r="C543" s="185" t="s">
        <v>0</v>
      </c>
      <c r="D543" s="186">
        <v>5</v>
      </c>
      <c r="E543" s="187">
        <f>ROUND(E542*D543,0)</f>
        <v>76</v>
      </c>
      <c r="F543" s="11">
        <f t="shared" si="324"/>
        <v>0</v>
      </c>
      <c r="G543" s="11"/>
      <c r="H543" s="540"/>
      <c r="I543" s="11">
        <f t="shared" si="325"/>
        <v>0</v>
      </c>
      <c r="J543" s="11"/>
      <c r="K543" s="11">
        <f>H543*E543</f>
        <v>0</v>
      </c>
      <c r="L543" s="197" t="s">
        <v>15</v>
      </c>
      <c r="N543" s="10"/>
    </row>
    <row r="544" spans="1:14" ht="47.25" x14ac:dyDescent="0.25">
      <c r="A544" s="198">
        <v>517</v>
      </c>
      <c r="B544" s="374" t="s">
        <v>221</v>
      </c>
      <c r="C544" s="188" t="s">
        <v>2</v>
      </c>
      <c r="D544" s="186">
        <v>1.1000000000000001</v>
      </c>
      <c r="E544" s="187">
        <f>ROUND(E542*D544,2)</f>
        <v>16.760000000000002</v>
      </c>
      <c r="F544" s="11">
        <f t="shared" si="324"/>
        <v>0</v>
      </c>
      <c r="G544" s="11"/>
      <c r="H544" s="540"/>
      <c r="I544" s="11">
        <f t="shared" si="325"/>
        <v>0</v>
      </c>
      <c r="J544" s="11"/>
      <c r="K544" s="11">
        <f>H544*E544</f>
        <v>0</v>
      </c>
      <c r="L544" s="197" t="s">
        <v>15</v>
      </c>
      <c r="N544" s="10"/>
    </row>
    <row r="545" spans="1:14" ht="31.5" x14ac:dyDescent="0.25">
      <c r="A545" s="198">
        <v>518</v>
      </c>
      <c r="B545" s="238" t="s">
        <v>180</v>
      </c>
      <c r="C545" s="188" t="s">
        <v>2</v>
      </c>
      <c r="D545" s="186">
        <v>1.1000000000000001</v>
      </c>
      <c r="E545" s="187">
        <f>ROUND(E542*D545,2)</f>
        <v>16.760000000000002</v>
      </c>
      <c r="F545" s="11">
        <f t="shared" si="324"/>
        <v>0</v>
      </c>
      <c r="G545" s="11"/>
      <c r="H545" s="540"/>
      <c r="I545" s="11">
        <f t="shared" si="325"/>
        <v>0</v>
      </c>
      <c r="J545" s="11"/>
      <c r="K545" s="11">
        <f>H545*E545</f>
        <v>0</v>
      </c>
      <c r="L545" s="197" t="s">
        <v>15</v>
      </c>
      <c r="N545" s="10"/>
    </row>
    <row r="546" spans="1:14" x14ac:dyDescent="0.25">
      <c r="A546" s="198">
        <v>519</v>
      </c>
      <c r="B546" s="184" t="s">
        <v>54</v>
      </c>
      <c r="C546" s="188" t="s">
        <v>27</v>
      </c>
      <c r="D546" s="249">
        <v>0.1</v>
      </c>
      <c r="E546" s="187">
        <f>E542*D546</f>
        <v>1.52</v>
      </c>
      <c r="F546" s="11">
        <f t="shared" si="324"/>
        <v>0</v>
      </c>
      <c r="G546" s="11"/>
      <c r="H546" s="540"/>
      <c r="I546" s="11">
        <f t="shared" si="325"/>
        <v>0</v>
      </c>
      <c r="J546" s="11"/>
      <c r="K546" s="11">
        <f>H546*E546</f>
        <v>0</v>
      </c>
      <c r="L546" s="197" t="s">
        <v>15</v>
      </c>
      <c r="N546" s="10"/>
    </row>
    <row r="547" spans="1:14" x14ac:dyDescent="0.25">
      <c r="A547" s="198">
        <v>520</v>
      </c>
      <c r="B547" s="174" t="s">
        <v>34</v>
      </c>
      <c r="C547" s="189" t="s">
        <v>0</v>
      </c>
      <c r="D547" s="105">
        <v>3.32</v>
      </c>
      <c r="E547" s="187">
        <f>ROUND(E542*D547,0)</f>
        <v>51</v>
      </c>
      <c r="F547" s="11">
        <f t="shared" si="324"/>
        <v>0</v>
      </c>
      <c r="G547" s="11"/>
      <c r="H547" s="540"/>
      <c r="I547" s="11">
        <f t="shared" si="325"/>
        <v>0</v>
      </c>
      <c r="J547" s="11"/>
      <c r="K547" s="11">
        <f>H547*E547</f>
        <v>0</v>
      </c>
      <c r="L547" s="197" t="s">
        <v>15</v>
      </c>
      <c r="N547" s="10"/>
    </row>
    <row r="548" spans="1:14" ht="31.5" x14ac:dyDescent="0.25">
      <c r="A548" s="534">
        <v>521</v>
      </c>
      <c r="B548" s="108" t="s">
        <v>196</v>
      </c>
      <c r="C548" s="121" t="s">
        <v>1</v>
      </c>
      <c r="D548" s="110"/>
      <c r="E548" s="30">
        <v>1</v>
      </c>
      <c r="F548" s="537">
        <f t="shared" ref="F548:F549" si="326">G548+H548</f>
        <v>0</v>
      </c>
      <c r="G548" s="538"/>
      <c r="H548" s="537"/>
      <c r="I548" s="537">
        <f t="shared" ref="I548:I549" si="327">J548+K548</f>
        <v>0</v>
      </c>
      <c r="J548" s="539">
        <f>G548*E548</f>
        <v>0</v>
      </c>
      <c r="K548" s="537"/>
      <c r="L548" s="112"/>
      <c r="N548" s="10"/>
    </row>
    <row r="549" spans="1:14" x14ac:dyDescent="0.25">
      <c r="A549" s="198">
        <v>522</v>
      </c>
      <c r="B549" s="107" t="s">
        <v>26</v>
      </c>
      <c r="C549" s="190" t="s">
        <v>27</v>
      </c>
      <c r="D549" s="250">
        <v>1.0149999999999999</v>
      </c>
      <c r="E549" s="39">
        <f>E548*0.1*D549</f>
        <v>0.1</v>
      </c>
      <c r="F549" s="11">
        <f t="shared" si="326"/>
        <v>0</v>
      </c>
      <c r="G549" s="11"/>
      <c r="H549" s="540"/>
      <c r="I549" s="11">
        <f t="shared" si="327"/>
        <v>0</v>
      </c>
      <c r="J549" s="11"/>
      <c r="K549" s="11">
        <f>H549*E549</f>
        <v>0</v>
      </c>
      <c r="L549" s="106" t="s">
        <v>15</v>
      </c>
      <c r="N549" s="10"/>
    </row>
    <row r="550" spans="1:14" ht="47.25" x14ac:dyDescent="0.25">
      <c r="A550" s="534">
        <v>523</v>
      </c>
      <c r="B550" s="191" t="s">
        <v>123</v>
      </c>
      <c r="C550" s="121" t="s">
        <v>0</v>
      </c>
      <c r="D550" s="192"/>
      <c r="E550" s="111">
        <v>1</v>
      </c>
      <c r="F550" s="537">
        <f t="shared" ref="F550:F556" si="328">G550+H550</f>
        <v>0</v>
      </c>
      <c r="G550" s="538"/>
      <c r="H550" s="537"/>
      <c r="I550" s="537">
        <f t="shared" ref="I550:I556" si="329">J550+K550</f>
        <v>0</v>
      </c>
      <c r="J550" s="539">
        <f>G550*E550</f>
        <v>0</v>
      </c>
      <c r="K550" s="537"/>
      <c r="L550" s="193"/>
      <c r="N550" s="10"/>
    </row>
    <row r="551" spans="1:14" x14ac:dyDescent="0.25">
      <c r="A551" s="198">
        <v>524</v>
      </c>
      <c r="B551" s="375" t="s">
        <v>239</v>
      </c>
      <c r="C551" s="364" t="s">
        <v>3</v>
      </c>
      <c r="D551" s="365">
        <v>1.03</v>
      </c>
      <c r="E551" s="38">
        <f>59.17*D551*E550</f>
        <v>60.95</v>
      </c>
      <c r="F551" s="11">
        <f t="shared" si="328"/>
        <v>0</v>
      </c>
      <c r="G551" s="11"/>
      <c r="H551" s="540"/>
      <c r="I551" s="11">
        <f t="shared" si="329"/>
        <v>0</v>
      </c>
      <c r="J551" s="11"/>
      <c r="K551" s="11">
        <f>H551*E551</f>
        <v>0</v>
      </c>
      <c r="L551" s="368" t="s">
        <v>15</v>
      </c>
      <c r="N551" s="10"/>
    </row>
    <row r="552" spans="1:14" x14ac:dyDescent="0.25">
      <c r="A552" s="198">
        <v>525</v>
      </c>
      <c r="B552" s="376" t="s">
        <v>124</v>
      </c>
      <c r="C552" s="377" t="s">
        <v>3</v>
      </c>
      <c r="D552" s="378">
        <v>1.03</v>
      </c>
      <c r="E552" s="379">
        <f>14.18*D552*E550</f>
        <v>14.61</v>
      </c>
      <c r="F552" s="11">
        <f t="shared" si="328"/>
        <v>0</v>
      </c>
      <c r="G552" s="11"/>
      <c r="H552" s="540"/>
      <c r="I552" s="11">
        <f t="shared" si="329"/>
        <v>0</v>
      </c>
      <c r="J552" s="11"/>
      <c r="K552" s="11">
        <f>H552*E552</f>
        <v>0</v>
      </c>
      <c r="L552" s="380" t="s">
        <v>15</v>
      </c>
      <c r="N552" s="10"/>
    </row>
    <row r="553" spans="1:14" x14ac:dyDescent="0.25">
      <c r="A553" s="198">
        <v>526</v>
      </c>
      <c r="B553" s="381" t="s">
        <v>125</v>
      </c>
      <c r="C553" s="382" t="s">
        <v>3</v>
      </c>
      <c r="D553" s="383">
        <v>1.03</v>
      </c>
      <c r="E553" s="384">
        <f>30.72*D553*E550</f>
        <v>31.64</v>
      </c>
      <c r="F553" s="11">
        <f t="shared" si="328"/>
        <v>0</v>
      </c>
      <c r="G553" s="11"/>
      <c r="H553" s="540"/>
      <c r="I553" s="11">
        <f t="shared" si="329"/>
        <v>0</v>
      </c>
      <c r="J553" s="11"/>
      <c r="K553" s="11">
        <f>H553*E553</f>
        <v>0</v>
      </c>
      <c r="L553" s="385" t="s">
        <v>15</v>
      </c>
      <c r="N553" s="10"/>
    </row>
    <row r="554" spans="1:14" x14ac:dyDescent="0.25">
      <c r="A554" s="198">
        <v>527</v>
      </c>
      <c r="B554" s="386" t="s">
        <v>126</v>
      </c>
      <c r="C554" s="387" t="s">
        <v>3</v>
      </c>
      <c r="D554" s="388">
        <v>1.03</v>
      </c>
      <c r="E554" s="389">
        <f>65.5*D554</f>
        <v>67.47</v>
      </c>
      <c r="F554" s="11">
        <f t="shared" si="328"/>
        <v>0</v>
      </c>
      <c r="G554" s="11"/>
      <c r="H554" s="540"/>
      <c r="I554" s="11">
        <f t="shared" si="329"/>
        <v>0</v>
      </c>
      <c r="J554" s="11"/>
      <c r="K554" s="11">
        <f>H554*E554</f>
        <v>0</v>
      </c>
      <c r="L554" s="390" t="s">
        <v>15</v>
      </c>
      <c r="N554" s="10"/>
    </row>
    <row r="555" spans="1:14" x14ac:dyDescent="0.25">
      <c r="A555" s="198">
        <v>528</v>
      </c>
      <c r="B555" s="391" t="s">
        <v>70</v>
      </c>
      <c r="C555" s="392" t="s">
        <v>3</v>
      </c>
      <c r="D555" s="393">
        <v>0.24</v>
      </c>
      <c r="E555" s="394">
        <f>4.19*D555*E550</f>
        <v>1.01</v>
      </c>
      <c r="F555" s="11">
        <f t="shared" si="328"/>
        <v>0</v>
      </c>
      <c r="G555" s="11"/>
      <c r="H555" s="540"/>
      <c r="I555" s="11">
        <f t="shared" si="329"/>
        <v>0</v>
      </c>
      <c r="J555" s="11"/>
      <c r="K555" s="11">
        <f>H555*E555</f>
        <v>0</v>
      </c>
      <c r="L555" s="395" t="s">
        <v>15</v>
      </c>
      <c r="N555" s="10"/>
    </row>
    <row r="556" spans="1:14" x14ac:dyDescent="0.25">
      <c r="A556" s="198">
        <v>529</v>
      </c>
      <c r="B556" s="396" t="s">
        <v>71</v>
      </c>
      <c r="C556" s="397" t="s">
        <v>3</v>
      </c>
      <c r="D556" s="398">
        <v>0.3</v>
      </c>
      <c r="E556" s="399">
        <f>4.19*D556*E550</f>
        <v>1.26</v>
      </c>
      <c r="F556" s="11">
        <f t="shared" si="328"/>
        <v>0</v>
      </c>
      <c r="G556" s="11"/>
      <c r="H556" s="540"/>
      <c r="I556" s="11">
        <f t="shared" si="329"/>
        <v>0</v>
      </c>
      <c r="J556" s="11"/>
      <c r="K556" s="11">
        <f>H556*E556</f>
        <v>0</v>
      </c>
      <c r="L556" s="400" t="s">
        <v>15</v>
      </c>
      <c r="N556" s="10"/>
    </row>
    <row r="557" spans="1:14" x14ac:dyDescent="0.25">
      <c r="A557" s="413"/>
      <c r="B557" s="402" t="s">
        <v>63</v>
      </c>
      <c r="C557" s="403"/>
      <c r="D557" s="404"/>
      <c r="E557" s="404"/>
      <c r="F557" s="404"/>
      <c r="G557" s="404"/>
      <c r="H557" s="404"/>
      <c r="I557" s="404"/>
      <c r="J557" s="404"/>
      <c r="K557" s="404"/>
      <c r="L557" s="405"/>
      <c r="N557" s="10"/>
    </row>
    <row r="558" spans="1:14" ht="63" x14ac:dyDescent="0.25">
      <c r="A558" s="535">
        <v>530</v>
      </c>
      <c r="B558" s="406" t="s">
        <v>224</v>
      </c>
      <c r="C558" s="407" t="s">
        <v>0</v>
      </c>
      <c r="D558" s="408"/>
      <c r="E558" s="15">
        <v>4</v>
      </c>
      <c r="F558" s="537">
        <f t="shared" ref="F558:F559" si="330">G558+H558</f>
        <v>0</v>
      </c>
      <c r="G558" s="538"/>
      <c r="H558" s="537"/>
      <c r="I558" s="537">
        <f t="shared" ref="I558:I559" si="331">J558+K558</f>
        <v>0</v>
      </c>
      <c r="J558" s="539">
        <f>G558*E558</f>
        <v>0</v>
      </c>
      <c r="K558" s="537"/>
      <c r="L558" s="409"/>
      <c r="N558" s="10"/>
    </row>
    <row r="559" spans="1:14" x14ac:dyDescent="0.25">
      <c r="A559" s="401">
        <v>531</v>
      </c>
      <c r="B559" s="410" t="s">
        <v>225</v>
      </c>
      <c r="C559" s="411" t="s">
        <v>0</v>
      </c>
      <c r="D559" s="398">
        <v>1</v>
      </c>
      <c r="E559" s="297">
        <f>E558*D559</f>
        <v>4</v>
      </c>
      <c r="F559" s="11">
        <f t="shared" si="330"/>
        <v>0</v>
      </c>
      <c r="G559" s="11"/>
      <c r="H559" s="540"/>
      <c r="I559" s="11">
        <f t="shared" si="331"/>
        <v>0</v>
      </c>
      <c r="J559" s="11"/>
      <c r="K559" s="11">
        <f>H559*E559</f>
        <v>0</v>
      </c>
      <c r="L559" s="412" t="s">
        <v>226</v>
      </c>
      <c r="N559" s="10"/>
    </row>
    <row r="560" spans="1:14" ht="63" x14ac:dyDescent="0.25">
      <c r="A560" s="535">
        <v>532</v>
      </c>
      <c r="B560" s="406" t="s">
        <v>224</v>
      </c>
      <c r="C560" s="407" t="s">
        <v>0</v>
      </c>
      <c r="D560" s="408"/>
      <c r="E560" s="15">
        <v>7</v>
      </c>
      <c r="F560" s="537">
        <f t="shared" ref="F560:F561" si="332">G560+H560</f>
        <v>0</v>
      </c>
      <c r="G560" s="538"/>
      <c r="H560" s="537"/>
      <c r="I560" s="537">
        <f t="shared" ref="I560:I561" si="333">J560+K560</f>
        <v>0</v>
      </c>
      <c r="J560" s="539">
        <f>G560*E560</f>
        <v>0</v>
      </c>
      <c r="K560" s="537"/>
      <c r="L560" s="409"/>
      <c r="N560" s="10"/>
    </row>
    <row r="561" spans="1:14" x14ac:dyDescent="0.25">
      <c r="A561" s="401">
        <v>533</v>
      </c>
      <c r="B561" s="410" t="s">
        <v>227</v>
      </c>
      <c r="C561" s="411" t="s">
        <v>0</v>
      </c>
      <c r="D561" s="398">
        <v>1</v>
      </c>
      <c r="E561" s="297">
        <f>E560*D561</f>
        <v>7</v>
      </c>
      <c r="F561" s="11">
        <f t="shared" si="332"/>
        <v>0</v>
      </c>
      <c r="G561" s="11"/>
      <c r="H561" s="540"/>
      <c r="I561" s="11">
        <f t="shared" si="333"/>
        <v>0</v>
      </c>
      <c r="J561" s="11"/>
      <c r="K561" s="11">
        <f>H561*E561</f>
        <v>0</v>
      </c>
      <c r="L561" s="412" t="s">
        <v>226</v>
      </c>
      <c r="N561" s="10"/>
    </row>
    <row r="562" spans="1:14" ht="63" x14ac:dyDescent="0.25">
      <c r="A562" s="535">
        <v>534</v>
      </c>
      <c r="B562" s="406" t="s">
        <v>224</v>
      </c>
      <c r="C562" s="407" t="s">
        <v>0</v>
      </c>
      <c r="D562" s="408"/>
      <c r="E562" s="15">
        <v>3</v>
      </c>
      <c r="F562" s="537">
        <f t="shared" ref="F562:F563" si="334">G562+H562</f>
        <v>0</v>
      </c>
      <c r="G562" s="538"/>
      <c r="H562" s="537"/>
      <c r="I562" s="537">
        <f t="shared" ref="I562:I563" si="335">J562+K562</f>
        <v>0</v>
      </c>
      <c r="J562" s="539">
        <f>G562*E562</f>
        <v>0</v>
      </c>
      <c r="K562" s="537"/>
      <c r="L562" s="409"/>
      <c r="N562" s="10"/>
    </row>
    <row r="563" spans="1:14" x14ac:dyDescent="0.25">
      <c r="A563" s="401">
        <v>535</v>
      </c>
      <c r="B563" s="410" t="s">
        <v>228</v>
      </c>
      <c r="C563" s="411" t="s">
        <v>0</v>
      </c>
      <c r="D563" s="398">
        <v>1</v>
      </c>
      <c r="E563" s="297">
        <f>E562*D563</f>
        <v>3</v>
      </c>
      <c r="F563" s="11">
        <f t="shared" si="334"/>
        <v>0</v>
      </c>
      <c r="G563" s="11"/>
      <c r="H563" s="540"/>
      <c r="I563" s="11">
        <f t="shared" si="335"/>
        <v>0</v>
      </c>
      <c r="J563" s="11"/>
      <c r="K563" s="11">
        <f>H563*E563</f>
        <v>0</v>
      </c>
      <c r="L563" s="412" t="s">
        <v>226</v>
      </c>
      <c r="N563" s="10"/>
    </row>
    <row r="564" spans="1:14" ht="63" x14ac:dyDescent="0.25">
      <c r="A564" s="535">
        <v>536</v>
      </c>
      <c r="B564" s="406" t="s">
        <v>229</v>
      </c>
      <c r="C564" s="407" t="s">
        <v>0</v>
      </c>
      <c r="D564" s="408"/>
      <c r="E564" s="15">
        <v>3</v>
      </c>
      <c r="F564" s="537">
        <f t="shared" ref="F564:F565" si="336">G564+H564</f>
        <v>0</v>
      </c>
      <c r="G564" s="538"/>
      <c r="H564" s="537"/>
      <c r="I564" s="537">
        <f t="shared" ref="I564:I565" si="337">J564+K564</f>
        <v>0</v>
      </c>
      <c r="J564" s="539">
        <f>G564*E564</f>
        <v>0</v>
      </c>
      <c r="K564" s="537"/>
      <c r="L564" s="409"/>
      <c r="N564" s="10"/>
    </row>
    <row r="565" spans="1:14" x14ac:dyDescent="0.25">
      <c r="A565" s="401">
        <v>537</v>
      </c>
      <c r="B565" s="410" t="s">
        <v>230</v>
      </c>
      <c r="C565" s="411" t="s">
        <v>0</v>
      </c>
      <c r="D565" s="398">
        <v>1</v>
      </c>
      <c r="E565" s="297">
        <f>E564*D565</f>
        <v>3</v>
      </c>
      <c r="F565" s="11">
        <f t="shared" si="336"/>
        <v>0</v>
      </c>
      <c r="G565" s="11"/>
      <c r="H565" s="540"/>
      <c r="I565" s="11">
        <f t="shared" si="337"/>
        <v>0</v>
      </c>
      <c r="J565" s="11"/>
      <c r="K565" s="11">
        <f>H565*E565</f>
        <v>0</v>
      </c>
      <c r="L565" s="412" t="s">
        <v>226</v>
      </c>
      <c r="N565" s="10"/>
    </row>
    <row r="566" spans="1:14" x14ac:dyDescent="0.25">
      <c r="A566" s="254"/>
      <c r="B566" s="199" t="s">
        <v>231</v>
      </c>
      <c r="C566" s="200"/>
      <c r="D566" s="201"/>
      <c r="E566" s="201"/>
      <c r="F566" s="201"/>
      <c r="G566" s="201"/>
      <c r="H566" s="201"/>
      <c r="I566" s="201"/>
      <c r="J566" s="201"/>
      <c r="K566" s="201"/>
      <c r="L566" s="202"/>
      <c r="N566" s="10"/>
    </row>
    <row r="567" spans="1:14" x14ac:dyDescent="0.25">
      <c r="A567" s="529">
        <v>538</v>
      </c>
      <c r="B567" s="203" t="s">
        <v>136</v>
      </c>
      <c r="C567" s="204" t="s">
        <v>1</v>
      </c>
      <c r="D567" s="205"/>
      <c r="E567" s="206">
        <f>Расч.!O32</f>
        <v>10.1</v>
      </c>
      <c r="F567" s="537">
        <f t="shared" ref="F567:F568" si="338">G567+H567</f>
        <v>0</v>
      </c>
      <c r="G567" s="538"/>
      <c r="H567" s="537"/>
      <c r="I567" s="537">
        <f t="shared" ref="I567:I568" si="339">J567+K567</f>
        <v>0</v>
      </c>
      <c r="J567" s="539">
        <f>G567*E567</f>
        <v>0</v>
      </c>
      <c r="K567" s="537"/>
      <c r="L567" s="207"/>
      <c r="N567" s="10"/>
    </row>
    <row r="568" spans="1:14" x14ac:dyDescent="0.25">
      <c r="A568" s="222">
        <v>539</v>
      </c>
      <c r="B568" s="414" t="s">
        <v>218</v>
      </c>
      <c r="C568" s="195" t="s">
        <v>1</v>
      </c>
      <c r="D568" s="196">
        <v>1.1499999999999999</v>
      </c>
      <c r="E568" s="11">
        <f>E567*D568</f>
        <v>11.62</v>
      </c>
      <c r="F568" s="11">
        <f t="shared" si="338"/>
        <v>0</v>
      </c>
      <c r="G568" s="11"/>
      <c r="H568" s="540"/>
      <c r="I568" s="11">
        <f t="shared" si="339"/>
        <v>0</v>
      </c>
      <c r="J568" s="11"/>
      <c r="K568" s="11">
        <f>H568*E568</f>
        <v>0</v>
      </c>
      <c r="L568" s="197" t="s">
        <v>15</v>
      </c>
      <c r="N568" s="10"/>
    </row>
    <row r="569" spans="1:14" x14ac:dyDescent="0.25">
      <c r="A569" s="529">
        <v>540</v>
      </c>
      <c r="B569" s="203" t="s">
        <v>57</v>
      </c>
      <c r="C569" s="204" t="s">
        <v>1</v>
      </c>
      <c r="D569" s="205"/>
      <c r="E569" s="15">
        <f>Расч.!O32</f>
        <v>10.1</v>
      </c>
      <c r="F569" s="537">
        <f t="shared" ref="F569:F570" si="340">G569+H569</f>
        <v>0</v>
      </c>
      <c r="G569" s="538"/>
      <c r="H569" s="537"/>
      <c r="I569" s="537">
        <f t="shared" ref="I569:I570" si="341">J569+K569</f>
        <v>0</v>
      </c>
      <c r="J569" s="539">
        <f>G569*E569</f>
        <v>0</v>
      </c>
      <c r="K569" s="537"/>
      <c r="L569" s="207"/>
      <c r="N569" s="10"/>
    </row>
    <row r="570" spans="1:14" ht="31.5" x14ac:dyDescent="0.25">
      <c r="A570" s="222">
        <v>541</v>
      </c>
      <c r="B570" s="208" t="s">
        <v>234</v>
      </c>
      <c r="C570" s="195" t="s">
        <v>27</v>
      </c>
      <c r="D570" s="196">
        <v>1.1000000000000001</v>
      </c>
      <c r="E570" s="11">
        <f>E569*D570*0.1</f>
        <v>1.1100000000000001</v>
      </c>
      <c r="F570" s="11">
        <f t="shared" si="340"/>
        <v>0</v>
      </c>
      <c r="G570" s="11"/>
      <c r="H570" s="540"/>
      <c r="I570" s="11">
        <f t="shared" si="341"/>
        <v>0</v>
      </c>
      <c r="J570" s="11"/>
      <c r="K570" s="11">
        <f>H570*E570</f>
        <v>0</v>
      </c>
      <c r="L570" s="197" t="s">
        <v>15</v>
      </c>
      <c r="N570" s="10"/>
    </row>
    <row r="571" spans="1:14" x14ac:dyDescent="0.25">
      <c r="A571" s="529">
        <v>542</v>
      </c>
      <c r="B571" s="203" t="s">
        <v>60</v>
      </c>
      <c r="C571" s="204" t="s">
        <v>1</v>
      </c>
      <c r="D571" s="205"/>
      <c r="E571" s="15">
        <f>Расч.!O32</f>
        <v>10.1</v>
      </c>
      <c r="F571" s="537">
        <f t="shared" ref="F571:F572" si="342">G571+H571</f>
        <v>0</v>
      </c>
      <c r="G571" s="538"/>
      <c r="H571" s="537"/>
      <c r="I571" s="537">
        <f t="shared" ref="I571:I572" si="343">J571+K571</f>
        <v>0</v>
      </c>
      <c r="J571" s="539">
        <f>G571*E571</f>
        <v>0</v>
      </c>
      <c r="K571" s="537"/>
      <c r="L571" s="207"/>
      <c r="N571" s="10"/>
    </row>
    <row r="572" spans="1:14" x14ac:dyDescent="0.25">
      <c r="A572" s="222">
        <v>543</v>
      </c>
      <c r="B572" s="208" t="s">
        <v>29</v>
      </c>
      <c r="C572" s="195" t="s">
        <v>1</v>
      </c>
      <c r="D572" s="196">
        <v>1.1499999999999999</v>
      </c>
      <c r="E572" s="11">
        <f>E571*D572</f>
        <v>11.62</v>
      </c>
      <c r="F572" s="11">
        <f t="shared" si="342"/>
        <v>0</v>
      </c>
      <c r="G572" s="11"/>
      <c r="H572" s="540"/>
      <c r="I572" s="11">
        <f t="shared" si="343"/>
        <v>0</v>
      </c>
      <c r="J572" s="11"/>
      <c r="K572" s="11">
        <f>H572*E572</f>
        <v>0</v>
      </c>
      <c r="L572" s="197" t="s">
        <v>15</v>
      </c>
      <c r="N572" s="10"/>
    </row>
    <row r="573" spans="1:14" ht="47.25" x14ac:dyDescent="0.25">
      <c r="A573" s="529">
        <v>544</v>
      </c>
      <c r="B573" s="203" t="s">
        <v>94</v>
      </c>
      <c r="C573" s="204" t="s">
        <v>1</v>
      </c>
      <c r="D573" s="205"/>
      <c r="E573" s="15">
        <f>Расч.!O32</f>
        <v>10.1</v>
      </c>
      <c r="F573" s="537">
        <f t="shared" ref="F573:F575" si="344">G573+H573</f>
        <v>0</v>
      </c>
      <c r="G573" s="538"/>
      <c r="H573" s="537"/>
      <c r="I573" s="537">
        <f t="shared" ref="I573:I575" si="345">J573+K573</f>
        <v>0</v>
      </c>
      <c r="J573" s="539">
        <f>G573*E573</f>
        <v>0</v>
      </c>
      <c r="K573" s="537"/>
      <c r="L573" s="207"/>
      <c r="N573" s="10"/>
    </row>
    <row r="574" spans="1:14" x14ac:dyDescent="0.25">
      <c r="A574" s="222">
        <v>545</v>
      </c>
      <c r="B574" s="210" t="s">
        <v>26</v>
      </c>
      <c r="C574" s="195" t="s">
        <v>27</v>
      </c>
      <c r="D574" s="211">
        <v>1.0149999999999999</v>
      </c>
      <c r="E574" s="11">
        <f>Расч.!T35*D574</f>
        <v>0.65</v>
      </c>
      <c r="F574" s="11">
        <f t="shared" si="344"/>
        <v>0</v>
      </c>
      <c r="G574" s="11"/>
      <c r="H574" s="540"/>
      <c r="I574" s="11">
        <f t="shared" si="345"/>
        <v>0</v>
      </c>
      <c r="J574" s="11"/>
      <c r="K574" s="11">
        <f>H574*E574</f>
        <v>0</v>
      </c>
      <c r="L574" s="197" t="s">
        <v>15</v>
      </c>
      <c r="N574" s="10"/>
    </row>
    <row r="575" spans="1:14" x14ac:dyDescent="0.25">
      <c r="A575" s="222">
        <v>546</v>
      </c>
      <c r="B575" s="210" t="s">
        <v>37</v>
      </c>
      <c r="C575" s="195" t="s">
        <v>1</v>
      </c>
      <c r="D575" s="196">
        <v>1.2</v>
      </c>
      <c r="E575" s="11">
        <f>E573*D575</f>
        <v>12.12</v>
      </c>
      <c r="F575" s="11">
        <f t="shared" si="344"/>
        <v>0</v>
      </c>
      <c r="G575" s="11"/>
      <c r="H575" s="540"/>
      <c r="I575" s="11">
        <f t="shared" si="345"/>
        <v>0</v>
      </c>
      <c r="J575" s="11"/>
      <c r="K575" s="11">
        <f>H575*E575</f>
        <v>0</v>
      </c>
      <c r="L575" s="212" t="s">
        <v>15</v>
      </c>
      <c r="N575" s="10"/>
    </row>
    <row r="576" spans="1:14" ht="31.5" x14ac:dyDescent="0.25">
      <c r="A576" s="529">
        <v>547</v>
      </c>
      <c r="B576" s="203" t="s">
        <v>138</v>
      </c>
      <c r="C576" s="204" t="s">
        <v>1</v>
      </c>
      <c r="D576" s="205"/>
      <c r="E576" s="15">
        <f>Расч.!O32</f>
        <v>10.1</v>
      </c>
      <c r="F576" s="537">
        <f t="shared" ref="F576:F577" si="346">G576+H576</f>
        <v>0</v>
      </c>
      <c r="G576" s="538"/>
      <c r="H576" s="537"/>
      <c r="I576" s="537">
        <f t="shared" ref="I576:I577" si="347">J576+K576</f>
        <v>0</v>
      </c>
      <c r="J576" s="539">
        <f>G576*E576</f>
        <v>0</v>
      </c>
      <c r="K576" s="537"/>
      <c r="L576" s="207"/>
      <c r="N576" s="10"/>
    </row>
    <row r="577" spans="1:14" ht="31.5" x14ac:dyDescent="0.25">
      <c r="A577" s="222">
        <v>548</v>
      </c>
      <c r="B577" s="210" t="s">
        <v>84</v>
      </c>
      <c r="C577" s="195" t="s">
        <v>25</v>
      </c>
      <c r="D577" s="196">
        <v>0.35</v>
      </c>
      <c r="E577" s="11">
        <f>E576*D577</f>
        <v>3.54</v>
      </c>
      <c r="F577" s="11">
        <f t="shared" si="346"/>
        <v>0</v>
      </c>
      <c r="G577" s="11"/>
      <c r="H577" s="540"/>
      <c r="I577" s="11">
        <f t="shared" si="347"/>
        <v>0</v>
      </c>
      <c r="J577" s="11"/>
      <c r="K577" s="11">
        <f>H577*E577</f>
        <v>0</v>
      </c>
      <c r="L577" s="212" t="s">
        <v>15</v>
      </c>
      <c r="N577" s="10"/>
    </row>
    <row r="578" spans="1:14" ht="31.5" x14ac:dyDescent="0.25">
      <c r="A578" s="529">
        <v>549</v>
      </c>
      <c r="B578" s="203" t="s">
        <v>58</v>
      </c>
      <c r="C578" s="204" t="s">
        <v>1</v>
      </c>
      <c r="D578" s="205"/>
      <c r="E578" s="15">
        <f>Расч.!O32</f>
        <v>10.1</v>
      </c>
      <c r="F578" s="537">
        <f t="shared" ref="F578:F581" si="348">G578+H578</f>
        <v>0</v>
      </c>
      <c r="G578" s="538"/>
      <c r="H578" s="537"/>
      <c r="I578" s="537">
        <f t="shared" ref="I578:I581" si="349">J578+K578</f>
        <v>0</v>
      </c>
      <c r="J578" s="539">
        <f>G578*E578</f>
        <v>0</v>
      </c>
      <c r="K578" s="537"/>
      <c r="L578" s="207"/>
      <c r="N578" s="10"/>
    </row>
    <row r="579" spans="1:14" x14ac:dyDescent="0.25">
      <c r="A579" s="222">
        <v>550</v>
      </c>
      <c r="B579" s="410" t="s">
        <v>68</v>
      </c>
      <c r="C579" s="397" t="s">
        <v>1</v>
      </c>
      <c r="D579" s="398">
        <v>1.1599999999999999</v>
      </c>
      <c r="E579" s="11">
        <f>E578*D579</f>
        <v>11.72</v>
      </c>
      <c r="F579" s="11">
        <f t="shared" si="348"/>
        <v>0</v>
      </c>
      <c r="G579" s="11"/>
      <c r="H579" s="540"/>
      <c r="I579" s="11">
        <f t="shared" si="349"/>
        <v>0</v>
      </c>
      <c r="J579" s="11"/>
      <c r="K579" s="11">
        <f>H579*E579</f>
        <v>0</v>
      </c>
      <c r="L579" s="212" t="s">
        <v>15</v>
      </c>
      <c r="N579" s="10"/>
    </row>
    <row r="580" spans="1:14" x14ac:dyDescent="0.25">
      <c r="A580" s="222">
        <v>551</v>
      </c>
      <c r="B580" s="410" t="s">
        <v>219</v>
      </c>
      <c r="C580" s="397" t="s">
        <v>1</v>
      </c>
      <c r="D580" s="398">
        <v>1.1399999999999999</v>
      </c>
      <c r="E580" s="11">
        <f>E578*D580</f>
        <v>11.51</v>
      </c>
      <c r="F580" s="11">
        <f t="shared" si="348"/>
        <v>0</v>
      </c>
      <c r="G580" s="11"/>
      <c r="H580" s="540"/>
      <c r="I580" s="11">
        <f t="shared" si="349"/>
        <v>0</v>
      </c>
      <c r="J580" s="11"/>
      <c r="K580" s="11">
        <f>H580*E580</f>
        <v>0</v>
      </c>
      <c r="L580" s="212" t="s">
        <v>15</v>
      </c>
      <c r="N580" s="10"/>
    </row>
    <row r="581" spans="1:14" x14ac:dyDescent="0.25">
      <c r="A581" s="222">
        <v>552</v>
      </c>
      <c r="B581" s="410" t="s">
        <v>28</v>
      </c>
      <c r="C581" s="415" t="s">
        <v>3</v>
      </c>
      <c r="D581" s="416">
        <v>0.6</v>
      </c>
      <c r="E581" s="11">
        <f>E578*D581</f>
        <v>6.06</v>
      </c>
      <c r="F581" s="11">
        <f t="shared" si="348"/>
        <v>0</v>
      </c>
      <c r="G581" s="11"/>
      <c r="H581" s="540"/>
      <c r="I581" s="11">
        <f t="shared" si="349"/>
        <v>0</v>
      </c>
      <c r="J581" s="11"/>
      <c r="K581" s="11">
        <f>H581*E581</f>
        <v>0</v>
      </c>
      <c r="L581" s="106" t="s">
        <v>15</v>
      </c>
      <c r="N581" s="10"/>
    </row>
    <row r="582" spans="1:14" x14ac:dyDescent="0.25">
      <c r="A582" s="529">
        <v>553</v>
      </c>
      <c r="B582" s="203" t="s">
        <v>64</v>
      </c>
      <c r="C582" s="204" t="s">
        <v>30</v>
      </c>
      <c r="D582" s="205"/>
      <c r="E582" s="15">
        <f>Расч.!S131</f>
        <v>13.7</v>
      </c>
      <c r="F582" s="537">
        <f t="shared" ref="F582:F584" si="350">G582+H582</f>
        <v>0</v>
      </c>
      <c r="G582" s="538"/>
      <c r="H582" s="537"/>
      <c r="I582" s="537">
        <f t="shared" ref="I582:I584" si="351">J582+K582</f>
        <v>0</v>
      </c>
      <c r="J582" s="539">
        <f>G582*E582</f>
        <v>0</v>
      </c>
      <c r="K582" s="537"/>
      <c r="L582" s="207"/>
      <c r="N582" s="10"/>
    </row>
    <row r="583" spans="1:14" x14ac:dyDescent="0.25">
      <c r="A583" s="222">
        <v>554</v>
      </c>
      <c r="B583" s="410" t="s">
        <v>31</v>
      </c>
      <c r="C583" s="398" t="s">
        <v>0</v>
      </c>
      <c r="D583" s="398">
        <v>5</v>
      </c>
      <c r="E583" s="11">
        <f>E582*D583</f>
        <v>68.5</v>
      </c>
      <c r="F583" s="11">
        <f t="shared" si="350"/>
        <v>0</v>
      </c>
      <c r="G583" s="11"/>
      <c r="H583" s="540"/>
      <c r="I583" s="11">
        <f t="shared" si="351"/>
        <v>0</v>
      </c>
      <c r="J583" s="11"/>
      <c r="K583" s="11">
        <f>H583*E583</f>
        <v>0</v>
      </c>
      <c r="L583" s="417" t="s">
        <v>119</v>
      </c>
      <c r="N583" s="10"/>
    </row>
    <row r="584" spans="1:14" ht="33" customHeight="1" x14ac:dyDescent="0.25">
      <c r="A584" s="222">
        <v>555</v>
      </c>
      <c r="B584" s="410" t="s">
        <v>233</v>
      </c>
      <c r="C584" s="397" t="s">
        <v>2</v>
      </c>
      <c r="D584" s="398">
        <v>1.1000000000000001</v>
      </c>
      <c r="E584" s="11">
        <f>ROUNDUP(D584*E582,0)</f>
        <v>16</v>
      </c>
      <c r="F584" s="11">
        <f t="shared" si="350"/>
        <v>0</v>
      </c>
      <c r="G584" s="11"/>
      <c r="H584" s="540"/>
      <c r="I584" s="11">
        <f t="shared" si="351"/>
        <v>0</v>
      </c>
      <c r="J584" s="11"/>
      <c r="K584" s="11">
        <f>H584*E584</f>
        <v>0</v>
      </c>
      <c r="L584" s="400" t="s">
        <v>15</v>
      </c>
      <c r="N584" s="10"/>
    </row>
    <row r="585" spans="1:14" x14ac:dyDescent="0.25">
      <c r="A585" s="254"/>
      <c r="B585" s="199" t="s">
        <v>246</v>
      </c>
      <c r="C585" s="200"/>
      <c r="D585" s="201"/>
      <c r="E585" s="201"/>
      <c r="F585" s="201"/>
      <c r="G585" s="201"/>
      <c r="H585" s="201"/>
      <c r="I585" s="201"/>
      <c r="J585" s="201"/>
      <c r="K585" s="201"/>
      <c r="L585" s="202"/>
      <c r="N585" s="10"/>
    </row>
    <row r="586" spans="1:14" ht="31.5" x14ac:dyDescent="0.25">
      <c r="A586" s="529">
        <v>556</v>
      </c>
      <c r="B586" s="203" t="s">
        <v>217</v>
      </c>
      <c r="C586" s="204" t="s">
        <v>1</v>
      </c>
      <c r="D586" s="205"/>
      <c r="E586" s="206">
        <f>Расч.!Y32+Расч.!Y35*0.1</f>
        <v>18.940000000000001</v>
      </c>
      <c r="F586" s="537">
        <f t="shared" ref="F586:F587" si="352">G586+H586</f>
        <v>0</v>
      </c>
      <c r="G586" s="538"/>
      <c r="H586" s="537"/>
      <c r="I586" s="537">
        <f t="shared" ref="I586:I587" si="353">J586+K586</f>
        <v>0</v>
      </c>
      <c r="J586" s="539">
        <f>G586*E586</f>
        <v>0</v>
      </c>
      <c r="K586" s="537"/>
      <c r="L586" s="207"/>
      <c r="N586" s="10"/>
    </row>
    <row r="587" spans="1:14" x14ac:dyDescent="0.25">
      <c r="A587" s="222">
        <v>557</v>
      </c>
      <c r="B587" s="414" t="s">
        <v>218</v>
      </c>
      <c r="C587" s="195" t="s">
        <v>1</v>
      </c>
      <c r="D587" s="196">
        <v>1.1499999999999999</v>
      </c>
      <c r="E587" s="11">
        <f>E586*D587</f>
        <v>21.78</v>
      </c>
      <c r="F587" s="11">
        <f t="shared" si="352"/>
        <v>0</v>
      </c>
      <c r="G587" s="11"/>
      <c r="H587" s="540"/>
      <c r="I587" s="11">
        <f t="shared" si="353"/>
        <v>0</v>
      </c>
      <c r="J587" s="11"/>
      <c r="K587" s="11">
        <f>H587*E587</f>
        <v>0</v>
      </c>
      <c r="L587" s="197" t="s">
        <v>15</v>
      </c>
      <c r="N587" s="10"/>
    </row>
    <row r="588" spans="1:14" x14ac:dyDescent="0.25">
      <c r="A588" s="529">
        <v>558</v>
      </c>
      <c r="B588" s="203" t="s">
        <v>57</v>
      </c>
      <c r="C588" s="204" t="s">
        <v>1</v>
      </c>
      <c r="D588" s="205"/>
      <c r="E588" s="15">
        <f>Расч.!Y32</f>
        <v>17.149999999999999</v>
      </c>
      <c r="F588" s="537">
        <f t="shared" ref="F588:F589" si="354">G588+H588</f>
        <v>0</v>
      </c>
      <c r="G588" s="538"/>
      <c r="H588" s="537"/>
      <c r="I588" s="537">
        <f t="shared" ref="I588:I589" si="355">J588+K588</f>
        <v>0</v>
      </c>
      <c r="J588" s="539">
        <f>G588*E588</f>
        <v>0</v>
      </c>
      <c r="K588" s="537"/>
      <c r="L588" s="207"/>
      <c r="N588" s="10"/>
    </row>
    <row r="589" spans="1:14" ht="31.5" x14ac:dyDescent="0.25">
      <c r="A589" s="222">
        <v>559</v>
      </c>
      <c r="B589" s="208" t="s">
        <v>234</v>
      </c>
      <c r="C589" s="195" t="s">
        <v>27</v>
      </c>
      <c r="D589" s="196">
        <v>1.1000000000000001</v>
      </c>
      <c r="E589" s="11">
        <f>E588*D589*0.1</f>
        <v>1.89</v>
      </c>
      <c r="F589" s="11">
        <f t="shared" si="354"/>
        <v>0</v>
      </c>
      <c r="G589" s="11"/>
      <c r="H589" s="540"/>
      <c r="I589" s="11">
        <f t="shared" si="355"/>
        <v>0</v>
      </c>
      <c r="J589" s="11"/>
      <c r="K589" s="11">
        <f>H589*E589</f>
        <v>0</v>
      </c>
      <c r="L589" s="197" t="s">
        <v>15</v>
      </c>
      <c r="N589" s="10"/>
    </row>
    <row r="590" spans="1:14" x14ac:dyDescent="0.25">
      <c r="A590" s="529">
        <v>560</v>
      </c>
      <c r="B590" s="203" t="s">
        <v>60</v>
      </c>
      <c r="C590" s="204" t="s">
        <v>1</v>
      </c>
      <c r="D590" s="205"/>
      <c r="E590" s="15">
        <f>Расч.!Y32</f>
        <v>17.149999999999999</v>
      </c>
      <c r="F590" s="537">
        <f t="shared" ref="F590:F591" si="356">G590+H590</f>
        <v>0</v>
      </c>
      <c r="G590" s="538"/>
      <c r="H590" s="537"/>
      <c r="I590" s="537">
        <f t="shared" ref="I590:I591" si="357">J590+K590</f>
        <v>0</v>
      </c>
      <c r="J590" s="539">
        <f>G590*E590</f>
        <v>0</v>
      </c>
      <c r="K590" s="537"/>
      <c r="L590" s="207"/>
      <c r="N590" s="10"/>
    </row>
    <row r="591" spans="1:14" x14ac:dyDescent="0.25">
      <c r="A591" s="222">
        <v>561</v>
      </c>
      <c r="B591" s="208" t="s">
        <v>29</v>
      </c>
      <c r="C591" s="195" t="s">
        <v>1</v>
      </c>
      <c r="D591" s="196">
        <v>1.1499999999999999</v>
      </c>
      <c r="E591" s="11">
        <f>E590*D591</f>
        <v>19.72</v>
      </c>
      <c r="F591" s="11">
        <f t="shared" si="356"/>
        <v>0</v>
      </c>
      <c r="G591" s="11"/>
      <c r="H591" s="540"/>
      <c r="I591" s="11">
        <f t="shared" si="357"/>
        <v>0</v>
      </c>
      <c r="J591" s="11"/>
      <c r="K591" s="11">
        <f>H591*E591</f>
        <v>0</v>
      </c>
      <c r="L591" s="197" t="s">
        <v>15</v>
      </c>
      <c r="N591" s="10"/>
    </row>
    <row r="592" spans="1:14" ht="47.25" x14ac:dyDescent="0.25">
      <c r="A592" s="529">
        <v>562</v>
      </c>
      <c r="B592" s="203" t="s">
        <v>120</v>
      </c>
      <c r="C592" s="204" t="s">
        <v>1</v>
      </c>
      <c r="D592" s="205"/>
      <c r="E592" s="15">
        <f>Расч.!Y32</f>
        <v>17.149999999999999</v>
      </c>
      <c r="F592" s="537">
        <f t="shared" ref="F592:F594" si="358">G592+H592</f>
        <v>0</v>
      </c>
      <c r="G592" s="538"/>
      <c r="H592" s="537"/>
      <c r="I592" s="537">
        <f t="shared" ref="I592:I594" si="359">J592+K592</f>
        <v>0</v>
      </c>
      <c r="J592" s="539">
        <f>G592*E592</f>
        <v>0</v>
      </c>
      <c r="K592" s="537"/>
      <c r="L592" s="207"/>
      <c r="N592" s="10"/>
    </row>
    <row r="593" spans="1:14" x14ac:dyDescent="0.25">
      <c r="A593" s="222">
        <v>563</v>
      </c>
      <c r="B593" s="210" t="s">
        <v>26</v>
      </c>
      <c r="C593" s="195" t="s">
        <v>27</v>
      </c>
      <c r="D593" s="211">
        <v>1.0149999999999999</v>
      </c>
      <c r="E593" s="11">
        <f>Расч.!AD35*D593</f>
        <v>1.33</v>
      </c>
      <c r="F593" s="11">
        <f t="shared" si="358"/>
        <v>0</v>
      </c>
      <c r="G593" s="11"/>
      <c r="H593" s="540"/>
      <c r="I593" s="11">
        <f t="shared" si="359"/>
        <v>0</v>
      </c>
      <c r="J593" s="11"/>
      <c r="K593" s="11">
        <f>H593*E593</f>
        <v>0</v>
      </c>
      <c r="L593" s="197" t="s">
        <v>15</v>
      </c>
      <c r="N593" s="10"/>
    </row>
    <row r="594" spans="1:14" x14ac:dyDescent="0.25">
      <c r="A594" s="222">
        <v>564</v>
      </c>
      <c r="B594" s="210" t="s">
        <v>37</v>
      </c>
      <c r="C594" s="195" t="s">
        <v>1</v>
      </c>
      <c r="D594" s="196">
        <v>1.2</v>
      </c>
      <c r="E594" s="11">
        <f>E592*D594</f>
        <v>20.58</v>
      </c>
      <c r="F594" s="11">
        <f t="shared" si="358"/>
        <v>0</v>
      </c>
      <c r="G594" s="11"/>
      <c r="H594" s="540"/>
      <c r="I594" s="11">
        <f t="shared" si="359"/>
        <v>0</v>
      </c>
      <c r="J594" s="11"/>
      <c r="K594" s="11">
        <f>H594*E594</f>
        <v>0</v>
      </c>
      <c r="L594" s="212" t="s">
        <v>15</v>
      </c>
      <c r="N594" s="10"/>
    </row>
    <row r="595" spans="1:14" ht="35.25" customHeight="1" x14ac:dyDescent="0.25">
      <c r="A595" s="529">
        <v>565</v>
      </c>
      <c r="B595" s="203" t="s">
        <v>61</v>
      </c>
      <c r="C595" s="204" t="s">
        <v>30</v>
      </c>
      <c r="D595" s="205"/>
      <c r="E595" s="15">
        <f>Расч.!Y35</f>
        <v>17.87</v>
      </c>
      <c r="F595" s="537">
        <f t="shared" ref="F595:F596" si="360">G595+H595</f>
        <v>0</v>
      </c>
      <c r="G595" s="538"/>
      <c r="H595" s="537"/>
      <c r="I595" s="537">
        <f t="shared" ref="I595:I596" si="361">J595+K595</f>
        <v>0</v>
      </c>
      <c r="J595" s="539">
        <f>G595*E595</f>
        <v>0</v>
      </c>
      <c r="K595" s="537"/>
      <c r="L595" s="207"/>
      <c r="N595" s="10"/>
    </row>
    <row r="596" spans="1:14" x14ac:dyDescent="0.25">
      <c r="A596" s="222">
        <v>566</v>
      </c>
      <c r="B596" s="210" t="s">
        <v>26</v>
      </c>
      <c r="C596" s="195" t="s">
        <v>27</v>
      </c>
      <c r="D596" s="211">
        <v>5.0000000000000001E-3</v>
      </c>
      <c r="E596" s="11">
        <f>D596*E595</f>
        <v>0.09</v>
      </c>
      <c r="F596" s="11">
        <f t="shared" si="360"/>
        <v>0</v>
      </c>
      <c r="G596" s="11"/>
      <c r="H596" s="540"/>
      <c r="I596" s="11">
        <f t="shared" si="361"/>
        <v>0</v>
      </c>
      <c r="J596" s="11"/>
      <c r="K596" s="11">
        <f>H596*E596</f>
        <v>0</v>
      </c>
      <c r="L596" s="197" t="s">
        <v>15</v>
      </c>
      <c r="N596" s="10"/>
    </row>
    <row r="597" spans="1:14" ht="47.25" x14ac:dyDescent="0.25">
      <c r="A597" s="529">
        <v>567</v>
      </c>
      <c r="B597" s="203" t="s">
        <v>83</v>
      </c>
      <c r="C597" s="204" t="s">
        <v>1</v>
      </c>
      <c r="D597" s="205"/>
      <c r="E597" s="15">
        <f>Расч.!Y32+Расч.!Y35*0.3</f>
        <v>22.51</v>
      </c>
      <c r="F597" s="537">
        <f t="shared" ref="F597:F598" si="362">G597+H597</f>
        <v>0</v>
      </c>
      <c r="G597" s="538"/>
      <c r="H597" s="537"/>
      <c r="I597" s="537">
        <f t="shared" ref="I597:I598" si="363">J597+K597</f>
        <v>0</v>
      </c>
      <c r="J597" s="539">
        <f>G597*E597</f>
        <v>0</v>
      </c>
      <c r="K597" s="537"/>
      <c r="L597" s="207"/>
      <c r="N597" s="10"/>
    </row>
    <row r="598" spans="1:14" ht="31.5" x14ac:dyDescent="0.25">
      <c r="A598" s="222">
        <v>568</v>
      </c>
      <c r="B598" s="210" t="s">
        <v>84</v>
      </c>
      <c r="C598" s="195" t="s">
        <v>25</v>
      </c>
      <c r="D598" s="196">
        <v>0.35</v>
      </c>
      <c r="E598" s="11">
        <f>E597*D598</f>
        <v>7.88</v>
      </c>
      <c r="F598" s="11">
        <f t="shared" si="362"/>
        <v>0</v>
      </c>
      <c r="G598" s="11"/>
      <c r="H598" s="540"/>
      <c r="I598" s="11">
        <f t="shared" si="363"/>
        <v>0</v>
      </c>
      <c r="J598" s="11"/>
      <c r="K598" s="11">
        <f>H598*E598</f>
        <v>0</v>
      </c>
      <c r="L598" s="212" t="s">
        <v>15</v>
      </c>
      <c r="N598" s="10"/>
    </row>
    <row r="599" spans="1:14" ht="31.5" x14ac:dyDescent="0.25">
      <c r="A599" s="529">
        <v>569</v>
      </c>
      <c r="B599" s="203" t="s">
        <v>58</v>
      </c>
      <c r="C599" s="204" t="s">
        <v>1</v>
      </c>
      <c r="D599" s="205"/>
      <c r="E599" s="15">
        <f>Расч.!Y32</f>
        <v>17.149999999999999</v>
      </c>
      <c r="F599" s="537">
        <f t="shared" ref="F599:F602" si="364">G599+H599</f>
        <v>0</v>
      </c>
      <c r="G599" s="538"/>
      <c r="H599" s="537"/>
      <c r="I599" s="537">
        <f t="shared" ref="I599:I602" si="365">J599+K599</f>
        <v>0</v>
      </c>
      <c r="J599" s="539">
        <f>G599*E599</f>
        <v>0</v>
      </c>
      <c r="K599" s="537"/>
      <c r="L599" s="207"/>
      <c r="N599" s="10"/>
    </row>
    <row r="600" spans="1:14" x14ac:dyDescent="0.25">
      <c r="A600" s="222">
        <v>570</v>
      </c>
      <c r="B600" s="410" t="s">
        <v>68</v>
      </c>
      <c r="C600" s="397" t="s">
        <v>1</v>
      </c>
      <c r="D600" s="398">
        <v>1.1599999999999999</v>
      </c>
      <c r="E600" s="11">
        <f>E599*D600</f>
        <v>19.89</v>
      </c>
      <c r="F600" s="11">
        <f t="shared" si="364"/>
        <v>0</v>
      </c>
      <c r="G600" s="11"/>
      <c r="H600" s="540"/>
      <c r="I600" s="11">
        <f t="shared" si="365"/>
        <v>0</v>
      </c>
      <c r="J600" s="11"/>
      <c r="K600" s="11">
        <f>H600*E600</f>
        <v>0</v>
      </c>
      <c r="L600" s="212" t="s">
        <v>15</v>
      </c>
      <c r="N600" s="10"/>
    </row>
    <row r="601" spans="1:14" x14ac:dyDescent="0.25">
      <c r="A601" s="222">
        <v>571</v>
      </c>
      <c r="B601" s="410" t="s">
        <v>219</v>
      </c>
      <c r="C601" s="397" t="s">
        <v>1</v>
      </c>
      <c r="D601" s="398">
        <v>1.1399999999999999</v>
      </c>
      <c r="E601" s="11">
        <f>E599*D601</f>
        <v>19.55</v>
      </c>
      <c r="F601" s="11">
        <f t="shared" si="364"/>
        <v>0</v>
      </c>
      <c r="G601" s="11"/>
      <c r="H601" s="540"/>
      <c r="I601" s="11">
        <f t="shared" si="365"/>
        <v>0</v>
      </c>
      <c r="J601" s="11"/>
      <c r="K601" s="11">
        <f>H601*E601</f>
        <v>0</v>
      </c>
      <c r="L601" s="212" t="s">
        <v>15</v>
      </c>
      <c r="N601" s="10"/>
    </row>
    <row r="602" spans="1:14" x14ac:dyDescent="0.25">
      <c r="A602" s="222">
        <v>572</v>
      </c>
      <c r="B602" s="410" t="s">
        <v>28</v>
      </c>
      <c r="C602" s="415" t="s">
        <v>3</v>
      </c>
      <c r="D602" s="416">
        <v>0.6</v>
      </c>
      <c r="E602" s="11">
        <f>E599*D602</f>
        <v>10.29</v>
      </c>
      <c r="F602" s="11">
        <f t="shared" si="364"/>
        <v>0</v>
      </c>
      <c r="G602" s="11"/>
      <c r="H602" s="540"/>
      <c r="I602" s="11">
        <f t="shared" si="365"/>
        <v>0</v>
      </c>
      <c r="J602" s="11"/>
      <c r="K602" s="11">
        <f>H602*E602</f>
        <v>0</v>
      </c>
      <c r="L602" s="106" t="s">
        <v>15</v>
      </c>
      <c r="N602" s="10"/>
    </row>
    <row r="603" spans="1:14" ht="31.5" x14ac:dyDescent="0.25">
      <c r="A603" s="529">
        <v>573</v>
      </c>
      <c r="B603" s="203" t="s">
        <v>35</v>
      </c>
      <c r="C603" s="204" t="s">
        <v>30</v>
      </c>
      <c r="D603" s="205"/>
      <c r="E603" s="15">
        <f>Расч.!Y35</f>
        <v>17.87</v>
      </c>
      <c r="F603" s="537">
        <f t="shared" ref="F603:F610" si="366">G603+H603</f>
        <v>0</v>
      </c>
      <c r="G603" s="538"/>
      <c r="H603" s="537"/>
      <c r="I603" s="537">
        <f t="shared" ref="I603:I610" si="367">J603+K603</f>
        <v>0</v>
      </c>
      <c r="J603" s="539">
        <f>G603*E603</f>
        <v>0</v>
      </c>
      <c r="K603" s="537"/>
      <c r="L603" s="207"/>
      <c r="N603" s="10"/>
    </row>
    <row r="604" spans="1:14" x14ac:dyDescent="0.25">
      <c r="A604" s="222">
        <v>574</v>
      </c>
      <c r="B604" s="410" t="s">
        <v>68</v>
      </c>
      <c r="C604" s="397" t="s">
        <v>1</v>
      </c>
      <c r="D604" s="398">
        <v>1.1599999999999999</v>
      </c>
      <c r="E604" s="11">
        <f>E603*0.5*D604</f>
        <v>10.36</v>
      </c>
      <c r="F604" s="11">
        <f t="shared" si="366"/>
        <v>0</v>
      </c>
      <c r="G604" s="11"/>
      <c r="H604" s="540"/>
      <c r="I604" s="11">
        <f t="shared" si="367"/>
        <v>0</v>
      </c>
      <c r="J604" s="11"/>
      <c r="K604" s="11">
        <f>H604*E604</f>
        <v>0</v>
      </c>
      <c r="L604" s="197" t="s">
        <v>15</v>
      </c>
      <c r="N604" s="10"/>
    </row>
    <row r="605" spans="1:14" x14ac:dyDescent="0.25">
      <c r="A605" s="222">
        <v>575</v>
      </c>
      <c r="B605" s="410" t="s">
        <v>219</v>
      </c>
      <c r="C605" s="397" t="s">
        <v>1</v>
      </c>
      <c r="D605" s="398">
        <v>1.1399999999999999</v>
      </c>
      <c r="E605" s="11">
        <f>E603*0.4*D605</f>
        <v>8.15</v>
      </c>
      <c r="F605" s="11">
        <f t="shared" si="366"/>
        <v>0</v>
      </c>
      <c r="G605" s="11"/>
      <c r="H605" s="540"/>
      <c r="I605" s="11">
        <f t="shared" si="367"/>
        <v>0</v>
      </c>
      <c r="J605" s="11"/>
      <c r="K605" s="11">
        <f>H605*E605</f>
        <v>0</v>
      </c>
      <c r="L605" s="197" t="s">
        <v>15</v>
      </c>
      <c r="N605" s="10"/>
    </row>
    <row r="606" spans="1:14" x14ac:dyDescent="0.25">
      <c r="A606" s="222">
        <v>576</v>
      </c>
      <c r="B606" s="410" t="s">
        <v>86</v>
      </c>
      <c r="C606" s="397" t="s">
        <v>27</v>
      </c>
      <c r="D606" s="398">
        <v>1.1399999999999999</v>
      </c>
      <c r="E606" s="11">
        <f>E603*0.25*D606</f>
        <v>5.09</v>
      </c>
      <c r="F606" s="11">
        <f t="shared" si="366"/>
        <v>0</v>
      </c>
      <c r="G606" s="11"/>
      <c r="H606" s="540"/>
      <c r="I606" s="11">
        <f t="shared" si="367"/>
        <v>0</v>
      </c>
      <c r="J606" s="11"/>
      <c r="K606" s="11">
        <f>H606*E606</f>
        <v>0</v>
      </c>
      <c r="L606" s="106" t="s">
        <v>15</v>
      </c>
      <c r="N606" s="10"/>
    </row>
    <row r="607" spans="1:14" x14ac:dyDescent="0.25">
      <c r="A607" s="222">
        <v>577</v>
      </c>
      <c r="B607" s="210" t="s">
        <v>28</v>
      </c>
      <c r="C607" s="213" t="s">
        <v>3</v>
      </c>
      <c r="D607" s="196">
        <v>0.6</v>
      </c>
      <c r="E607" s="11">
        <f>E603*D607</f>
        <v>10.72</v>
      </c>
      <c r="F607" s="11">
        <f t="shared" si="366"/>
        <v>0</v>
      </c>
      <c r="G607" s="11"/>
      <c r="H607" s="540"/>
      <c r="I607" s="11">
        <f t="shared" si="367"/>
        <v>0</v>
      </c>
      <c r="J607" s="11"/>
      <c r="K607" s="11">
        <f>H607*E607</f>
        <v>0</v>
      </c>
      <c r="L607" s="106" t="s">
        <v>15</v>
      </c>
      <c r="N607" s="10"/>
    </row>
    <row r="608" spans="1:14" ht="31.5" x14ac:dyDescent="0.25">
      <c r="A608" s="222">
        <v>578</v>
      </c>
      <c r="B608" s="210" t="s">
        <v>43</v>
      </c>
      <c r="C608" s="214" t="s">
        <v>2</v>
      </c>
      <c r="D608" s="196">
        <v>1.03</v>
      </c>
      <c r="E608" s="11">
        <f>E603*D608</f>
        <v>18.41</v>
      </c>
      <c r="F608" s="11">
        <f t="shared" si="366"/>
        <v>0</v>
      </c>
      <c r="G608" s="11"/>
      <c r="H608" s="540"/>
      <c r="I608" s="11">
        <f t="shared" si="367"/>
        <v>0</v>
      </c>
      <c r="J608" s="11"/>
      <c r="K608" s="11">
        <f>H608*E608</f>
        <v>0</v>
      </c>
      <c r="L608" s="197" t="s">
        <v>15</v>
      </c>
      <c r="N608" s="10"/>
    </row>
    <row r="609" spans="1:14" x14ac:dyDescent="0.25">
      <c r="A609" s="222">
        <v>579</v>
      </c>
      <c r="B609" s="210" t="s">
        <v>31</v>
      </c>
      <c r="C609" s="215" t="s">
        <v>0</v>
      </c>
      <c r="D609" s="196">
        <v>5</v>
      </c>
      <c r="E609" s="11">
        <f>ROUND(E603*D609,0)</f>
        <v>89</v>
      </c>
      <c r="F609" s="11">
        <f t="shared" si="366"/>
        <v>0</v>
      </c>
      <c r="G609" s="11"/>
      <c r="H609" s="540"/>
      <c r="I609" s="11">
        <f t="shared" si="367"/>
        <v>0</v>
      </c>
      <c r="J609" s="11"/>
      <c r="K609" s="11">
        <f>H609*E609</f>
        <v>0</v>
      </c>
      <c r="L609" s="197" t="s">
        <v>15</v>
      </c>
      <c r="N609" s="10"/>
    </row>
    <row r="610" spans="1:14" ht="31.5" x14ac:dyDescent="0.25">
      <c r="A610" s="222">
        <v>580</v>
      </c>
      <c r="B610" s="210" t="s">
        <v>69</v>
      </c>
      <c r="C610" s="216" t="s">
        <v>0</v>
      </c>
      <c r="D610" s="196">
        <v>0.15</v>
      </c>
      <c r="E610" s="11">
        <f>ROUND(E603*D610,)</f>
        <v>3</v>
      </c>
      <c r="F610" s="11">
        <f t="shared" si="366"/>
        <v>0</v>
      </c>
      <c r="G610" s="11"/>
      <c r="H610" s="540"/>
      <c r="I610" s="11">
        <f t="shared" si="367"/>
        <v>0</v>
      </c>
      <c r="J610" s="11"/>
      <c r="K610" s="11">
        <f>H610*E610</f>
        <v>0</v>
      </c>
      <c r="L610" s="197" t="s">
        <v>15</v>
      </c>
      <c r="N610" s="10"/>
    </row>
    <row r="611" spans="1:14" x14ac:dyDescent="0.25">
      <c r="A611" s="529">
        <v>581</v>
      </c>
      <c r="B611" s="419" t="s">
        <v>59</v>
      </c>
      <c r="C611" s="407" t="s">
        <v>30</v>
      </c>
      <c r="D611" s="408"/>
      <c r="E611" s="15">
        <f>Расч.!V131</f>
        <v>19.7</v>
      </c>
      <c r="F611" s="537">
        <f t="shared" ref="F611:F614" si="368">G611+H611</f>
        <v>0</v>
      </c>
      <c r="G611" s="538"/>
      <c r="H611" s="537"/>
      <c r="I611" s="537">
        <f t="shared" ref="I611:I614" si="369">J611+K611</f>
        <v>0</v>
      </c>
      <c r="J611" s="539">
        <f>G611*E611</f>
        <v>0</v>
      </c>
      <c r="K611" s="537"/>
      <c r="L611" s="409"/>
      <c r="N611" s="10"/>
    </row>
    <row r="612" spans="1:14" x14ac:dyDescent="0.25">
      <c r="A612" s="222">
        <v>582</v>
      </c>
      <c r="B612" s="410" t="s">
        <v>31</v>
      </c>
      <c r="C612" s="398" t="s">
        <v>0</v>
      </c>
      <c r="D612" s="398">
        <v>5</v>
      </c>
      <c r="E612" s="420">
        <f>ROUND(E611*D612,0)</f>
        <v>99</v>
      </c>
      <c r="F612" s="11">
        <f t="shared" si="368"/>
        <v>0</v>
      </c>
      <c r="G612" s="11"/>
      <c r="H612" s="540"/>
      <c r="I612" s="11">
        <f t="shared" si="369"/>
        <v>0</v>
      </c>
      <c r="J612" s="11"/>
      <c r="K612" s="11">
        <f>H612*E612</f>
        <v>0</v>
      </c>
      <c r="L612" s="417" t="s">
        <v>119</v>
      </c>
      <c r="N612" s="10"/>
    </row>
    <row r="613" spans="1:14" ht="47.25" x14ac:dyDescent="0.25">
      <c r="A613" s="222">
        <v>583</v>
      </c>
      <c r="B613" s="410" t="s">
        <v>247</v>
      </c>
      <c r="C613" s="397" t="s">
        <v>2</v>
      </c>
      <c r="D613" s="398">
        <v>1.1000000000000001</v>
      </c>
      <c r="E613" s="11">
        <f>E611*D613</f>
        <v>21.67</v>
      </c>
      <c r="F613" s="11">
        <f t="shared" si="368"/>
        <v>0</v>
      </c>
      <c r="G613" s="11"/>
      <c r="H613" s="540"/>
      <c r="I613" s="11">
        <f t="shared" si="369"/>
        <v>0</v>
      </c>
      <c r="J613" s="11"/>
      <c r="K613" s="11">
        <f>H613*E613</f>
        <v>0</v>
      </c>
      <c r="L613" s="417" t="s">
        <v>119</v>
      </c>
      <c r="N613" s="10"/>
    </row>
    <row r="614" spans="1:14" x14ac:dyDescent="0.25">
      <c r="A614" s="222">
        <v>584</v>
      </c>
      <c r="B614" s="410" t="s">
        <v>34</v>
      </c>
      <c r="C614" s="397" t="s">
        <v>0</v>
      </c>
      <c r="D614" s="398">
        <v>1.66</v>
      </c>
      <c r="E614" s="11">
        <f>ROUND(D614*E611,0)</f>
        <v>33</v>
      </c>
      <c r="F614" s="11">
        <f t="shared" si="368"/>
        <v>0</v>
      </c>
      <c r="G614" s="11"/>
      <c r="H614" s="540"/>
      <c r="I614" s="11">
        <f t="shared" si="369"/>
        <v>0</v>
      </c>
      <c r="J614" s="11"/>
      <c r="K614" s="11">
        <f>H614*E614</f>
        <v>0</v>
      </c>
      <c r="L614" s="400" t="s">
        <v>15</v>
      </c>
      <c r="N614" s="10"/>
    </row>
    <row r="615" spans="1:14" x14ac:dyDescent="0.25">
      <c r="A615" s="253"/>
      <c r="B615" s="3" t="s">
        <v>161</v>
      </c>
      <c r="C615" s="4"/>
      <c r="D615" s="27"/>
      <c r="E615" s="27"/>
      <c r="F615" s="27"/>
      <c r="G615" s="27"/>
      <c r="H615" s="27"/>
      <c r="I615" s="27"/>
      <c r="J615" s="27"/>
      <c r="K615" s="27"/>
      <c r="L615" s="28"/>
      <c r="N615" s="10"/>
    </row>
    <row r="616" spans="1:14" x14ac:dyDescent="0.25">
      <c r="A616" s="254"/>
      <c r="B616" s="21" t="s">
        <v>56</v>
      </c>
      <c r="C616" s="18"/>
      <c r="D616" s="19"/>
      <c r="E616" s="19"/>
      <c r="F616" s="19"/>
      <c r="G616" s="19"/>
      <c r="H616" s="19"/>
      <c r="I616" s="19"/>
      <c r="J616" s="19"/>
      <c r="K616" s="19"/>
      <c r="L616" s="20"/>
      <c r="N616" s="10"/>
    </row>
    <row r="617" spans="1:14" ht="31.5" x14ac:dyDescent="0.25">
      <c r="A617" s="529">
        <v>585</v>
      </c>
      <c r="B617" s="131" t="s">
        <v>217</v>
      </c>
      <c r="C617" s="132" t="s">
        <v>1</v>
      </c>
      <c r="D617" s="133"/>
      <c r="E617" s="69">
        <f>Расч.!E39+Расч.!E42*0.1</f>
        <v>420.87</v>
      </c>
      <c r="F617" s="537">
        <f t="shared" ref="F617:F618" si="370">G617+H617</f>
        <v>0</v>
      </c>
      <c r="G617" s="538"/>
      <c r="H617" s="537"/>
      <c r="I617" s="537">
        <f t="shared" ref="I617:I618" si="371">J617+K617</f>
        <v>0</v>
      </c>
      <c r="J617" s="539">
        <f>G617*E617</f>
        <v>0</v>
      </c>
      <c r="K617" s="537"/>
      <c r="L617" s="70"/>
      <c r="N617" s="10"/>
    </row>
    <row r="618" spans="1:14" x14ac:dyDescent="0.25">
      <c r="A618" s="222">
        <v>586</v>
      </c>
      <c r="B618" s="414" t="s">
        <v>218</v>
      </c>
      <c r="C618" s="102" t="s">
        <v>1</v>
      </c>
      <c r="D618" s="103">
        <v>1.1499999999999999</v>
      </c>
      <c r="E618" s="11">
        <f>E617*D618</f>
        <v>484</v>
      </c>
      <c r="F618" s="11">
        <f t="shared" si="370"/>
        <v>0</v>
      </c>
      <c r="G618" s="11"/>
      <c r="H618" s="540"/>
      <c r="I618" s="11">
        <f t="shared" si="371"/>
        <v>0</v>
      </c>
      <c r="J618" s="11"/>
      <c r="K618" s="11">
        <f>H618*E618</f>
        <v>0</v>
      </c>
      <c r="L618" s="73" t="s">
        <v>15</v>
      </c>
      <c r="N618" s="10"/>
    </row>
    <row r="619" spans="1:14" x14ac:dyDescent="0.25">
      <c r="A619" s="529">
        <v>587</v>
      </c>
      <c r="B619" s="66" t="s">
        <v>57</v>
      </c>
      <c r="C619" s="67" t="s">
        <v>1</v>
      </c>
      <c r="D619" s="68"/>
      <c r="E619" s="15">
        <f>Расч.!E39</f>
        <v>405</v>
      </c>
      <c r="F619" s="537">
        <f t="shared" ref="F619:F620" si="372">G619+H619</f>
        <v>0</v>
      </c>
      <c r="G619" s="538"/>
      <c r="H619" s="537"/>
      <c r="I619" s="537">
        <f t="shared" ref="I619:I620" si="373">J619+K619</f>
        <v>0</v>
      </c>
      <c r="J619" s="539">
        <f>G619*E619</f>
        <v>0</v>
      </c>
      <c r="K619" s="537"/>
      <c r="L619" s="70"/>
      <c r="N619" s="10"/>
    </row>
    <row r="620" spans="1:14" ht="31.5" x14ac:dyDescent="0.25">
      <c r="A620" s="222">
        <v>588</v>
      </c>
      <c r="B620" s="134" t="s">
        <v>234</v>
      </c>
      <c r="C620" s="63" t="s">
        <v>27</v>
      </c>
      <c r="D620" s="64">
        <v>1.1000000000000001</v>
      </c>
      <c r="E620" s="11">
        <f>E619*D620*0.1</f>
        <v>44.55</v>
      </c>
      <c r="F620" s="11">
        <f t="shared" si="372"/>
        <v>0</v>
      </c>
      <c r="G620" s="11"/>
      <c r="H620" s="540"/>
      <c r="I620" s="11">
        <f t="shared" si="373"/>
        <v>0</v>
      </c>
      <c r="J620" s="11"/>
      <c r="K620" s="11">
        <f>H620*E620</f>
        <v>0</v>
      </c>
      <c r="L620" s="65" t="s">
        <v>15</v>
      </c>
      <c r="N620" s="10"/>
    </row>
    <row r="621" spans="1:14" x14ac:dyDescent="0.25">
      <c r="A621" s="529">
        <v>589</v>
      </c>
      <c r="B621" s="66" t="s">
        <v>60</v>
      </c>
      <c r="C621" s="67" t="s">
        <v>1</v>
      </c>
      <c r="D621" s="68"/>
      <c r="E621" s="15">
        <f>Расч.!E39</f>
        <v>405</v>
      </c>
      <c r="F621" s="537">
        <f t="shared" ref="F621:F622" si="374">G621+H621</f>
        <v>0</v>
      </c>
      <c r="G621" s="538"/>
      <c r="H621" s="537"/>
      <c r="I621" s="537">
        <f t="shared" ref="I621:I622" si="375">J621+K621</f>
        <v>0</v>
      </c>
      <c r="J621" s="539">
        <f>G621*E621</f>
        <v>0</v>
      </c>
      <c r="K621" s="537"/>
      <c r="L621" s="70"/>
      <c r="N621" s="10"/>
    </row>
    <row r="622" spans="1:14" x14ac:dyDescent="0.25">
      <c r="A622" s="222">
        <v>590</v>
      </c>
      <c r="B622" s="74" t="s">
        <v>29</v>
      </c>
      <c r="C622" s="63" t="s">
        <v>1</v>
      </c>
      <c r="D622" s="64">
        <v>1.1499999999999999</v>
      </c>
      <c r="E622" s="11">
        <f>E621*D622</f>
        <v>465.75</v>
      </c>
      <c r="F622" s="11">
        <f t="shared" si="374"/>
        <v>0</v>
      </c>
      <c r="G622" s="11"/>
      <c r="H622" s="540"/>
      <c r="I622" s="11">
        <f t="shared" si="375"/>
        <v>0</v>
      </c>
      <c r="J622" s="11"/>
      <c r="K622" s="11">
        <f>H622*E622</f>
        <v>0</v>
      </c>
      <c r="L622" s="65" t="s">
        <v>15</v>
      </c>
      <c r="N622" s="10"/>
    </row>
    <row r="623" spans="1:14" x14ac:dyDescent="0.25">
      <c r="A623" s="529">
        <v>591</v>
      </c>
      <c r="B623" s="131" t="s">
        <v>85</v>
      </c>
      <c r="C623" s="135" t="s">
        <v>1</v>
      </c>
      <c r="D623" s="133"/>
      <c r="E623" s="15">
        <f>Расч.!J158*0.22</f>
        <v>18.63</v>
      </c>
      <c r="F623" s="537">
        <f t="shared" ref="F623:F624" si="376">G623+H623</f>
        <v>0</v>
      </c>
      <c r="G623" s="538"/>
      <c r="H623" s="537"/>
      <c r="I623" s="537">
        <f t="shared" ref="I623:I624" si="377">J623+K623</f>
        <v>0</v>
      </c>
      <c r="J623" s="539">
        <f>G623*E623</f>
        <v>0</v>
      </c>
      <c r="K623" s="537"/>
      <c r="L623" s="122"/>
      <c r="N623" s="10"/>
    </row>
    <row r="624" spans="1:14" ht="31.5" x14ac:dyDescent="0.25">
      <c r="A624" s="222">
        <v>592</v>
      </c>
      <c r="B624" s="134" t="s">
        <v>248</v>
      </c>
      <c r="C624" s="102" t="s">
        <v>27</v>
      </c>
      <c r="D624" s="103">
        <v>1.1000000000000001</v>
      </c>
      <c r="E624" s="11">
        <f>E623*0.1*D624</f>
        <v>2.0499999999999998</v>
      </c>
      <c r="F624" s="11">
        <f t="shared" si="376"/>
        <v>0</v>
      </c>
      <c r="G624" s="11"/>
      <c r="H624" s="540"/>
      <c r="I624" s="11">
        <f t="shared" si="377"/>
        <v>0</v>
      </c>
      <c r="J624" s="11"/>
      <c r="K624" s="11">
        <f>H624*E624</f>
        <v>0</v>
      </c>
      <c r="L624" s="65" t="s">
        <v>15</v>
      </c>
      <c r="N624" s="10"/>
    </row>
    <row r="625" spans="1:14" ht="47.25" x14ac:dyDescent="0.25">
      <c r="A625" s="529">
        <v>593</v>
      </c>
      <c r="B625" s="66" t="s">
        <v>82</v>
      </c>
      <c r="C625" s="67" t="s">
        <v>1</v>
      </c>
      <c r="D625" s="68"/>
      <c r="E625" s="15">
        <f>Расч.!I41</f>
        <v>396.53</v>
      </c>
      <c r="F625" s="537">
        <f t="shared" ref="F625:F627" si="378">G625+H625</f>
        <v>0</v>
      </c>
      <c r="G625" s="538"/>
      <c r="H625" s="537"/>
      <c r="I625" s="537">
        <f t="shared" ref="I625:I627" si="379">J625+K625</f>
        <v>0</v>
      </c>
      <c r="J625" s="539">
        <f>G625*E625</f>
        <v>0</v>
      </c>
      <c r="K625" s="537"/>
      <c r="L625" s="70"/>
      <c r="N625" s="10"/>
    </row>
    <row r="626" spans="1:14" x14ac:dyDescent="0.25">
      <c r="A626" s="222">
        <v>594</v>
      </c>
      <c r="B626" s="71" t="s">
        <v>26</v>
      </c>
      <c r="C626" s="63" t="s">
        <v>27</v>
      </c>
      <c r="D626" s="72">
        <v>1.0149999999999999</v>
      </c>
      <c r="E626" s="11">
        <f>Расч.!J42*D626</f>
        <v>65.739999999999995</v>
      </c>
      <c r="F626" s="11">
        <f t="shared" si="378"/>
        <v>0</v>
      </c>
      <c r="G626" s="11"/>
      <c r="H626" s="540"/>
      <c r="I626" s="11">
        <f t="shared" si="379"/>
        <v>0</v>
      </c>
      <c r="J626" s="11"/>
      <c r="K626" s="11">
        <f>H626*E626</f>
        <v>0</v>
      </c>
      <c r="L626" s="65" t="s">
        <v>15</v>
      </c>
      <c r="N626" s="10"/>
    </row>
    <row r="627" spans="1:14" x14ac:dyDescent="0.25">
      <c r="A627" s="222">
        <v>595</v>
      </c>
      <c r="B627" s="71" t="s">
        <v>37</v>
      </c>
      <c r="C627" s="63" t="s">
        <v>1</v>
      </c>
      <c r="D627" s="64">
        <v>1.2</v>
      </c>
      <c r="E627" s="11">
        <f>E625*D627</f>
        <v>475.84</v>
      </c>
      <c r="F627" s="11">
        <f t="shared" si="378"/>
        <v>0</v>
      </c>
      <c r="G627" s="11"/>
      <c r="H627" s="540"/>
      <c r="I627" s="11">
        <f t="shared" si="379"/>
        <v>0</v>
      </c>
      <c r="J627" s="11"/>
      <c r="K627" s="11">
        <f>H627*E627</f>
        <v>0</v>
      </c>
      <c r="L627" s="73" t="s">
        <v>15</v>
      </c>
      <c r="N627" s="10"/>
    </row>
    <row r="628" spans="1:14" ht="31.5" x14ac:dyDescent="0.25">
      <c r="A628" s="529">
        <v>596</v>
      </c>
      <c r="B628" s="49" t="s">
        <v>179</v>
      </c>
      <c r="C628" s="125" t="s">
        <v>30</v>
      </c>
      <c r="D628" s="133"/>
      <c r="E628" s="15">
        <f>Расч.!E42</f>
        <v>158.69999999999999</v>
      </c>
      <c r="F628" s="537">
        <f t="shared" ref="F628:F629" si="380">G628+H628</f>
        <v>0</v>
      </c>
      <c r="G628" s="538"/>
      <c r="H628" s="537"/>
      <c r="I628" s="537">
        <f t="shared" ref="I628:I629" si="381">J628+K628</f>
        <v>0</v>
      </c>
      <c r="J628" s="539">
        <f>G628*E628</f>
        <v>0</v>
      </c>
      <c r="K628" s="537"/>
      <c r="L628" s="70"/>
      <c r="N628" s="10"/>
    </row>
    <row r="629" spans="1:14" x14ac:dyDescent="0.25">
      <c r="A629" s="222">
        <v>597</v>
      </c>
      <c r="B629" s="138" t="s">
        <v>26</v>
      </c>
      <c r="C629" s="102" t="s">
        <v>27</v>
      </c>
      <c r="D629" s="137">
        <v>5.0000000000000001E-3</v>
      </c>
      <c r="E629" s="11">
        <f>D629*E628</f>
        <v>0.79</v>
      </c>
      <c r="F629" s="11">
        <f t="shared" si="380"/>
        <v>0</v>
      </c>
      <c r="G629" s="11"/>
      <c r="H629" s="540"/>
      <c r="I629" s="11">
        <f t="shared" si="381"/>
        <v>0</v>
      </c>
      <c r="J629" s="11"/>
      <c r="K629" s="11">
        <f>H629*E629</f>
        <v>0</v>
      </c>
      <c r="L629" s="65" t="s">
        <v>15</v>
      </c>
      <c r="N629" s="10"/>
    </row>
    <row r="630" spans="1:14" ht="47.25" x14ac:dyDescent="0.25">
      <c r="A630" s="529">
        <v>598</v>
      </c>
      <c r="B630" s="66" t="s">
        <v>83</v>
      </c>
      <c r="C630" s="127" t="s">
        <v>1</v>
      </c>
      <c r="D630" s="68"/>
      <c r="E630" s="15">
        <f>Расч.!E39+Расч.!E42*0.3</f>
        <v>452.61</v>
      </c>
      <c r="F630" s="537">
        <f t="shared" ref="F630:F631" si="382">G630+H630</f>
        <v>0</v>
      </c>
      <c r="G630" s="538"/>
      <c r="H630" s="537"/>
      <c r="I630" s="537">
        <f t="shared" ref="I630:I631" si="383">J630+K630</f>
        <v>0</v>
      </c>
      <c r="J630" s="539">
        <f>G630*E630</f>
        <v>0</v>
      </c>
      <c r="K630" s="537"/>
      <c r="L630" s="70"/>
      <c r="N630" s="10"/>
    </row>
    <row r="631" spans="1:14" ht="31.5" x14ac:dyDescent="0.25">
      <c r="A631" s="222">
        <v>599</v>
      </c>
      <c r="B631" s="138" t="s">
        <v>84</v>
      </c>
      <c r="C631" s="63" t="s">
        <v>25</v>
      </c>
      <c r="D631" s="64">
        <v>0.35</v>
      </c>
      <c r="E631" s="11">
        <f>E630*D631</f>
        <v>158.41</v>
      </c>
      <c r="F631" s="11">
        <f t="shared" si="382"/>
        <v>0</v>
      </c>
      <c r="G631" s="11"/>
      <c r="H631" s="540"/>
      <c r="I631" s="11">
        <f t="shared" si="383"/>
        <v>0</v>
      </c>
      <c r="J631" s="11"/>
      <c r="K631" s="11">
        <f>H631*E631</f>
        <v>0</v>
      </c>
      <c r="L631" s="73" t="s">
        <v>15</v>
      </c>
      <c r="N631" s="10"/>
    </row>
    <row r="632" spans="1:14" ht="31.5" x14ac:dyDescent="0.25">
      <c r="A632" s="529">
        <v>600</v>
      </c>
      <c r="B632" s="66" t="s">
        <v>58</v>
      </c>
      <c r="C632" s="127" t="s">
        <v>1</v>
      </c>
      <c r="D632" s="68"/>
      <c r="E632" s="15">
        <f>Расч.!E39</f>
        <v>405</v>
      </c>
      <c r="F632" s="537">
        <f t="shared" ref="F632:F635" si="384">G632+H632</f>
        <v>0</v>
      </c>
      <c r="G632" s="538"/>
      <c r="H632" s="537"/>
      <c r="I632" s="537">
        <f t="shared" ref="I632:I635" si="385">J632+K632</f>
        <v>0</v>
      </c>
      <c r="J632" s="539">
        <f>G632*E632</f>
        <v>0</v>
      </c>
      <c r="K632" s="537"/>
      <c r="L632" s="70"/>
      <c r="N632" s="10"/>
    </row>
    <row r="633" spans="1:14" x14ac:dyDescent="0.25">
      <c r="A633" s="222">
        <v>601</v>
      </c>
      <c r="B633" s="410" t="s">
        <v>68</v>
      </c>
      <c r="C633" s="397" t="s">
        <v>1</v>
      </c>
      <c r="D633" s="398">
        <v>1.1599999999999999</v>
      </c>
      <c r="E633" s="11">
        <f>E632*D633</f>
        <v>469.8</v>
      </c>
      <c r="F633" s="11">
        <f t="shared" si="384"/>
        <v>0</v>
      </c>
      <c r="G633" s="11"/>
      <c r="H633" s="540"/>
      <c r="I633" s="11">
        <f t="shared" si="385"/>
        <v>0</v>
      </c>
      <c r="J633" s="11"/>
      <c r="K633" s="11">
        <f>H633*E633</f>
        <v>0</v>
      </c>
      <c r="L633" s="73" t="s">
        <v>15</v>
      </c>
      <c r="N633" s="10"/>
    </row>
    <row r="634" spans="1:14" x14ac:dyDescent="0.25">
      <c r="A634" s="222">
        <v>602</v>
      </c>
      <c r="B634" s="410" t="s">
        <v>219</v>
      </c>
      <c r="C634" s="397" t="s">
        <v>1</v>
      </c>
      <c r="D634" s="398">
        <v>1.1399999999999999</v>
      </c>
      <c r="E634" s="11">
        <f>E632*D634</f>
        <v>461.7</v>
      </c>
      <c r="F634" s="11">
        <f t="shared" si="384"/>
        <v>0</v>
      </c>
      <c r="G634" s="11"/>
      <c r="H634" s="540"/>
      <c r="I634" s="11">
        <f t="shared" si="385"/>
        <v>0</v>
      </c>
      <c r="J634" s="11"/>
      <c r="K634" s="11">
        <f>H634*E634</f>
        <v>0</v>
      </c>
      <c r="L634" s="73" t="s">
        <v>15</v>
      </c>
      <c r="N634" s="10"/>
    </row>
    <row r="635" spans="1:14" x14ac:dyDescent="0.25">
      <c r="A635" s="222">
        <v>603</v>
      </c>
      <c r="B635" s="410" t="s">
        <v>28</v>
      </c>
      <c r="C635" s="415" t="s">
        <v>3</v>
      </c>
      <c r="D635" s="416">
        <v>0.6</v>
      </c>
      <c r="E635" s="11">
        <f>E632*D635</f>
        <v>243</v>
      </c>
      <c r="F635" s="11">
        <f t="shared" si="384"/>
        <v>0</v>
      </c>
      <c r="G635" s="11"/>
      <c r="H635" s="540"/>
      <c r="I635" s="11">
        <f t="shared" si="385"/>
        <v>0</v>
      </c>
      <c r="J635" s="11"/>
      <c r="K635" s="11">
        <f>H635*E635</f>
        <v>0</v>
      </c>
      <c r="L635" s="106" t="s">
        <v>15</v>
      </c>
      <c r="N635" s="10"/>
    </row>
    <row r="636" spans="1:14" ht="31.5" x14ac:dyDescent="0.25">
      <c r="A636" s="529">
        <v>604</v>
      </c>
      <c r="B636" s="66" t="s">
        <v>35</v>
      </c>
      <c r="C636" s="127" t="s">
        <v>30</v>
      </c>
      <c r="D636" s="68"/>
      <c r="E636" s="15">
        <f>Расч.!E42</f>
        <v>158.69999999999999</v>
      </c>
      <c r="F636" s="537">
        <f t="shared" ref="F636:F643" si="386">G636+H636</f>
        <v>0</v>
      </c>
      <c r="G636" s="538"/>
      <c r="H636" s="537"/>
      <c r="I636" s="537">
        <f t="shared" ref="I636:I643" si="387">J636+K636</f>
        <v>0</v>
      </c>
      <c r="J636" s="539">
        <f>G636*E636</f>
        <v>0</v>
      </c>
      <c r="K636" s="537"/>
      <c r="L636" s="70"/>
      <c r="N636" s="10"/>
    </row>
    <row r="637" spans="1:14" x14ac:dyDescent="0.25">
      <c r="A637" s="222">
        <v>605</v>
      </c>
      <c r="B637" s="410" t="s">
        <v>68</v>
      </c>
      <c r="C637" s="397" t="s">
        <v>1</v>
      </c>
      <c r="D637" s="398">
        <v>1.1599999999999999</v>
      </c>
      <c r="E637" s="11">
        <f>E636*0.5*D637</f>
        <v>92.05</v>
      </c>
      <c r="F637" s="11">
        <f t="shared" si="386"/>
        <v>0</v>
      </c>
      <c r="G637" s="11"/>
      <c r="H637" s="540"/>
      <c r="I637" s="11">
        <f t="shared" si="387"/>
        <v>0</v>
      </c>
      <c r="J637" s="11"/>
      <c r="K637" s="11">
        <f>H637*E637</f>
        <v>0</v>
      </c>
      <c r="L637" s="65" t="s">
        <v>15</v>
      </c>
      <c r="N637" s="10"/>
    </row>
    <row r="638" spans="1:14" x14ac:dyDescent="0.25">
      <c r="A638" s="222">
        <v>606</v>
      </c>
      <c r="B638" s="410" t="s">
        <v>219</v>
      </c>
      <c r="C638" s="397" t="s">
        <v>1</v>
      </c>
      <c r="D638" s="398">
        <v>1.1399999999999999</v>
      </c>
      <c r="E638" s="11">
        <f>E636*0.4*D638</f>
        <v>72.37</v>
      </c>
      <c r="F638" s="11">
        <f t="shared" si="386"/>
        <v>0</v>
      </c>
      <c r="G638" s="11"/>
      <c r="H638" s="540"/>
      <c r="I638" s="11">
        <f t="shared" si="387"/>
        <v>0</v>
      </c>
      <c r="J638" s="11"/>
      <c r="K638" s="11">
        <f>H638*E638</f>
        <v>0</v>
      </c>
      <c r="L638" s="65" t="s">
        <v>15</v>
      </c>
      <c r="N638" s="10"/>
    </row>
    <row r="639" spans="1:14" x14ac:dyDescent="0.25">
      <c r="A639" s="222">
        <v>607</v>
      </c>
      <c r="B639" s="410" t="s">
        <v>86</v>
      </c>
      <c r="C639" s="397" t="s">
        <v>27</v>
      </c>
      <c r="D639" s="398">
        <v>1.1399999999999999</v>
      </c>
      <c r="E639" s="11">
        <f>E636*0.25*D639</f>
        <v>45.23</v>
      </c>
      <c r="F639" s="11">
        <f t="shared" si="386"/>
        <v>0</v>
      </c>
      <c r="G639" s="11"/>
      <c r="H639" s="540"/>
      <c r="I639" s="11">
        <f t="shared" si="387"/>
        <v>0</v>
      </c>
      <c r="J639" s="11"/>
      <c r="K639" s="11">
        <f>H639*E639</f>
        <v>0</v>
      </c>
      <c r="L639" s="106" t="s">
        <v>15</v>
      </c>
      <c r="N639" s="10"/>
    </row>
    <row r="640" spans="1:14" x14ac:dyDescent="0.25">
      <c r="A640" s="222">
        <v>608</v>
      </c>
      <c r="B640" s="138" t="s">
        <v>28</v>
      </c>
      <c r="C640" s="140" t="s">
        <v>3</v>
      </c>
      <c r="D640" s="103">
        <v>0.6</v>
      </c>
      <c r="E640" s="11">
        <f>E636*D640</f>
        <v>95.22</v>
      </c>
      <c r="F640" s="11">
        <f t="shared" si="386"/>
        <v>0</v>
      </c>
      <c r="G640" s="11"/>
      <c r="H640" s="540"/>
      <c r="I640" s="11">
        <f t="shared" si="387"/>
        <v>0</v>
      </c>
      <c r="J640" s="11"/>
      <c r="K640" s="11">
        <f>H640*E640</f>
        <v>0</v>
      </c>
      <c r="L640" s="106" t="s">
        <v>15</v>
      </c>
      <c r="N640" s="10"/>
    </row>
    <row r="641" spans="1:14" ht="31.5" x14ac:dyDescent="0.25">
      <c r="A641" s="222">
        <v>609</v>
      </c>
      <c r="B641" s="138" t="s">
        <v>43</v>
      </c>
      <c r="C641" s="141" t="s">
        <v>2</v>
      </c>
      <c r="D641" s="103">
        <v>1.03</v>
      </c>
      <c r="E641" s="11">
        <f>E636*D641</f>
        <v>163.46</v>
      </c>
      <c r="F641" s="11">
        <f t="shared" si="386"/>
        <v>0</v>
      </c>
      <c r="G641" s="11"/>
      <c r="H641" s="540"/>
      <c r="I641" s="11">
        <f t="shared" si="387"/>
        <v>0</v>
      </c>
      <c r="J641" s="11"/>
      <c r="K641" s="11">
        <f>H641*E641</f>
        <v>0</v>
      </c>
      <c r="L641" s="65" t="s">
        <v>15</v>
      </c>
      <c r="N641" s="10"/>
    </row>
    <row r="642" spans="1:14" x14ac:dyDescent="0.25">
      <c r="A642" s="222">
        <v>610</v>
      </c>
      <c r="B642" s="138" t="s">
        <v>31</v>
      </c>
      <c r="C642" s="142" t="s">
        <v>0</v>
      </c>
      <c r="D642" s="103">
        <v>5</v>
      </c>
      <c r="E642" s="11">
        <f>ROUND(E636*D642,0)</f>
        <v>794</v>
      </c>
      <c r="F642" s="11">
        <f t="shared" si="386"/>
        <v>0</v>
      </c>
      <c r="G642" s="11"/>
      <c r="H642" s="540"/>
      <c r="I642" s="11">
        <f t="shared" si="387"/>
        <v>0</v>
      </c>
      <c r="J642" s="11"/>
      <c r="K642" s="11">
        <f>H642*E642</f>
        <v>0</v>
      </c>
      <c r="L642" s="65" t="s">
        <v>15</v>
      </c>
      <c r="N642" s="10"/>
    </row>
    <row r="643" spans="1:14" ht="31.5" x14ac:dyDescent="0.25">
      <c r="A643" s="222">
        <v>611</v>
      </c>
      <c r="B643" s="138" t="s">
        <v>69</v>
      </c>
      <c r="C643" s="143" t="s">
        <v>0</v>
      </c>
      <c r="D643" s="103">
        <v>0.15</v>
      </c>
      <c r="E643" s="11">
        <f>ROUND(E636*D643,0)</f>
        <v>24</v>
      </c>
      <c r="F643" s="11">
        <f t="shared" si="386"/>
        <v>0</v>
      </c>
      <c r="G643" s="11"/>
      <c r="H643" s="540"/>
      <c r="I643" s="11">
        <f t="shared" si="387"/>
        <v>0</v>
      </c>
      <c r="J643" s="11"/>
      <c r="K643" s="11">
        <f>H643*E643</f>
        <v>0</v>
      </c>
      <c r="L643" s="65" t="s">
        <v>15</v>
      </c>
      <c r="N643" s="10"/>
    </row>
    <row r="644" spans="1:14" x14ac:dyDescent="0.25">
      <c r="A644" s="529">
        <v>612</v>
      </c>
      <c r="B644" s="66" t="s">
        <v>32</v>
      </c>
      <c r="C644" s="127" t="s">
        <v>0</v>
      </c>
      <c r="D644" s="68"/>
      <c r="E644" s="15">
        <v>2</v>
      </c>
      <c r="F644" s="537">
        <f t="shared" ref="F644:F645" si="388">G644+H644</f>
        <v>0</v>
      </c>
      <c r="G644" s="538"/>
      <c r="H644" s="537"/>
      <c r="I644" s="537">
        <f t="shared" ref="I644:I645" si="389">J644+K644</f>
        <v>0</v>
      </c>
      <c r="J644" s="539">
        <f>G644*E644</f>
        <v>0</v>
      </c>
      <c r="K644" s="537"/>
      <c r="L644" s="70"/>
      <c r="N644" s="10"/>
    </row>
    <row r="645" spans="1:14" ht="63" x14ac:dyDescent="0.25">
      <c r="A645" s="222">
        <v>613</v>
      </c>
      <c r="B645" s="410" t="s">
        <v>220</v>
      </c>
      <c r="C645" s="63" t="s">
        <v>0</v>
      </c>
      <c r="D645" s="64">
        <v>1</v>
      </c>
      <c r="E645" s="11">
        <f>E644</f>
        <v>2</v>
      </c>
      <c r="F645" s="11">
        <f t="shared" si="388"/>
        <v>0</v>
      </c>
      <c r="G645" s="11"/>
      <c r="H645" s="540"/>
      <c r="I645" s="11">
        <f t="shared" si="389"/>
        <v>0</v>
      </c>
      <c r="J645" s="11"/>
      <c r="K645" s="11">
        <f>H645*E645</f>
        <v>0</v>
      </c>
      <c r="L645" s="65" t="s">
        <v>15</v>
      </c>
      <c r="N645" s="10"/>
    </row>
    <row r="646" spans="1:14" x14ac:dyDescent="0.25">
      <c r="A646" s="529">
        <v>614</v>
      </c>
      <c r="B646" s="66" t="s">
        <v>55</v>
      </c>
      <c r="C646" s="127" t="s">
        <v>0</v>
      </c>
      <c r="D646" s="68"/>
      <c r="E646" s="15">
        <f>1</f>
        <v>1</v>
      </c>
      <c r="F646" s="537">
        <f t="shared" ref="F646:F647" si="390">G646+H646</f>
        <v>0</v>
      </c>
      <c r="G646" s="538"/>
      <c r="H646" s="537"/>
      <c r="I646" s="537">
        <f t="shared" ref="I646:I647" si="391">J646+K646</f>
        <v>0</v>
      </c>
      <c r="J646" s="539">
        <f>G646*E646</f>
        <v>0</v>
      </c>
      <c r="K646" s="537"/>
      <c r="L646" s="70"/>
      <c r="N646" s="10"/>
    </row>
    <row r="647" spans="1:14" ht="31.5" x14ac:dyDescent="0.25">
      <c r="A647" s="222">
        <v>615</v>
      </c>
      <c r="B647" s="410" t="s">
        <v>235</v>
      </c>
      <c r="C647" s="63" t="s">
        <v>0</v>
      </c>
      <c r="D647" s="64">
        <v>1</v>
      </c>
      <c r="E647" s="11">
        <f>E646</f>
        <v>1</v>
      </c>
      <c r="F647" s="11">
        <f t="shared" si="390"/>
        <v>0</v>
      </c>
      <c r="G647" s="11"/>
      <c r="H647" s="540"/>
      <c r="I647" s="11">
        <f t="shared" si="391"/>
        <v>0</v>
      </c>
      <c r="J647" s="11"/>
      <c r="K647" s="11">
        <f>H647*E647</f>
        <v>0</v>
      </c>
      <c r="L647" s="65" t="s">
        <v>15</v>
      </c>
      <c r="N647" s="10"/>
    </row>
    <row r="648" spans="1:14" x14ac:dyDescent="0.25">
      <c r="A648" s="529">
        <v>616</v>
      </c>
      <c r="B648" s="66" t="s">
        <v>52</v>
      </c>
      <c r="C648" s="127" t="s">
        <v>0</v>
      </c>
      <c r="D648" s="68"/>
      <c r="E648" s="15">
        <v>3</v>
      </c>
      <c r="F648" s="537">
        <f t="shared" ref="F648:F649" si="392">G648+H648</f>
        <v>0</v>
      </c>
      <c r="G648" s="538"/>
      <c r="H648" s="537"/>
      <c r="I648" s="537">
        <f t="shared" ref="I648:I649" si="393">J648+K648</f>
        <v>0</v>
      </c>
      <c r="J648" s="539">
        <f>G648*E648</f>
        <v>0</v>
      </c>
      <c r="K648" s="537"/>
      <c r="L648" s="70"/>
      <c r="N648" s="10"/>
    </row>
    <row r="649" spans="1:14" x14ac:dyDescent="0.25">
      <c r="A649" s="222">
        <v>617</v>
      </c>
      <c r="B649" s="410" t="s">
        <v>236</v>
      </c>
      <c r="C649" s="63" t="s">
        <v>0</v>
      </c>
      <c r="D649" s="64">
        <v>1</v>
      </c>
      <c r="E649" s="11">
        <f>E648</f>
        <v>3</v>
      </c>
      <c r="F649" s="11">
        <f t="shared" si="392"/>
        <v>0</v>
      </c>
      <c r="G649" s="11"/>
      <c r="H649" s="540"/>
      <c r="I649" s="11">
        <f t="shared" si="393"/>
        <v>0</v>
      </c>
      <c r="J649" s="11"/>
      <c r="K649" s="11">
        <f>H649*E649</f>
        <v>0</v>
      </c>
      <c r="L649" s="65" t="s">
        <v>15</v>
      </c>
      <c r="N649" s="10"/>
    </row>
    <row r="650" spans="1:14" ht="31.5" x14ac:dyDescent="0.25">
      <c r="A650" s="529">
        <v>618</v>
      </c>
      <c r="B650" s="66" t="s">
        <v>62</v>
      </c>
      <c r="C650" s="127" t="s">
        <v>0</v>
      </c>
      <c r="D650" s="68"/>
      <c r="E650" s="15">
        <v>12</v>
      </c>
      <c r="F650" s="537">
        <f t="shared" ref="F650:F653" si="394">G650+H650</f>
        <v>0</v>
      </c>
      <c r="G650" s="538"/>
      <c r="H650" s="537"/>
      <c r="I650" s="537">
        <f t="shared" ref="I650:I653" si="395">J650+K650</f>
        <v>0</v>
      </c>
      <c r="J650" s="539">
        <f>G650*E650</f>
        <v>0</v>
      </c>
      <c r="K650" s="537"/>
      <c r="L650" s="70"/>
      <c r="N650" s="10"/>
    </row>
    <row r="651" spans="1:14" ht="31.5" x14ac:dyDescent="0.25">
      <c r="A651" s="222">
        <v>619</v>
      </c>
      <c r="B651" s="138" t="s">
        <v>69</v>
      </c>
      <c r="C651" s="102" t="s">
        <v>0</v>
      </c>
      <c r="D651" s="103">
        <v>0.15</v>
      </c>
      <c r="E651" s="11">
        <f>ROUNDUP(D651*E650,0)</f>
        <v>2</v>
      </c>
      <c r="F651" s="11">
        <f t="shared" si="394"/>
        <v>0</v>
      </c>
      <c r="G651" s="11"/>
      <c r="H651" s="540"/>
      <c r="I651" s="11">
        <f t="shared" si="395"/>
        <v>0</v>
      </c>
      <c r="J651" s="11"/>
      <c r="K651" s="11">
        <f>H651*E651</f>
        <v>0</v>
      </c>
      <c r="L651" s="65" t="s">
        <v>15</v>
      </c>
      <c r="N651" s="10"/>
    </row>
    <row r="652" spans="1:14" ht="31.5" x14ac:dyDescent="0.25">
      <c r="A652" s="222">
        <v>620</v>
      </c>
      <c r="B652" s="138" t="s">
        <v>66</v>
      </c>
      <c r="C652" s="102" t="s">
        <v>0</v>
      </c>
      <c r="D652" s="103">
        <v>1</v>
      </c>
      <c r="E652" s="11">
        <f>E650*D652</f>
        <v>12</v>
      </c>
      <c r="F652" s="11">
        <f t="shared" si="394"/>
        <v>0</v>
      </c>
      <c r="G652" s="11"/>
      <c r="H652" s="540"/>
      <c r="I652" s="11">
        <f t="shared" si="395"/>
        <v>0</v>
      </c>
      <c r="J652" s="11"/>
      <c r="K652" s="11">
        <f>H652*E652</f>
        <v>0</v>
      </c>
      <c r="L652" s="65" t="s">
        <v>15</v>
      </c>
      <c r="N652" s="10"/>
    </row>
    <row r="653" spans="1:14" x14ac:dyDescent="0.25">
      <c r="A653" s="222">
        <v>621</v>
      </c>
      <c r="B653" s="138" t="s">
        <v>87</v>
      </c>
      <c r="C653" s="102" t="s">
        <v>0</v>
      </c>
      <c r="D653" s="103">
        <v>1</v>
      </c>
      <c r="E653" s="11">
        <f>E650*D653</f>
        <v>12</v>
      </c>
      <c r="F653" s="11">
        <f t="shared" si="394"/>
        <v>0</v>
      </c>
      <c r="G653" s="11"/>
      <c r="H653" s="540"/>
      <c r="I653" s="11">
        <f t="shared" si="395"/>
        <v>0</v>
      </c>
      <c r="J653" s="11"/>
      <c r="K653" s="11">
        <f>H653*E653</f>
        <v>0</v>
      </c>
      <c r="L653" s="65" t="s">
        <v>15</v>
      </c>
      <c r="N653" s="10"/>
    </row>
    <row r="654" spans="1:14" ht="31.5" x14ac:dyDescent="0.25">
      <c r="A654" s="529">
        <v>622</v>
      </c>
      <c r="B654" s="131" t="s">
        <v>88</v>
      </c>
      <c r="C654" s="135" t="s">
        <v>0</v>
      </c>
      <c r="D654" s="133"/>
      <c r="E654" s="15">
        <v>5</v>
      </c>
      <c r="F654" s="537">
        <f t="shared" ref="F654:F657" si="396">G654+H654</f>
        <v>0</v>
      </c>
      <c r="G654" s="538"/>
      <c r="H654" s="537"/>
      <c r="I654" s="537">
        <f t="shared" ref="I654:I657" si="397">J654+K654</f>
        <v>0</v>
      </c>
      <c r="J654" s="539">
        <f>G654*E654</f>
        <v>0</v>
      </c>
      <c r="K654" s="537"/>
      <c r="L654" s="112"/>
      <c r="N654" s="10"/>
    </row>
    <row r="655" spans="1:14" x14ac:dyDescent="0.25">
      <c r="A655" s="222">
        <v>623</v>
      </c>
      <c r="B655" s="138" t="s">
        <v>89</v>
      </c>
      <c r="C655" s="102" t="s">
        <v>0</v>
      </c>
      <c r="D655" s="103">
        <v>1</v>
      </c>
      <c r="E655" s="11">
        <f>E654*D655</f>
        <v>5</v>
      </c>
      <c r="F655" s="11">
        <f t="shared" si="396"/>
        <v>0</v>
      </c>
      <c r="G655" s="11"/>
      <c r="H655" s="540"/>
      <c r="I655" s="11">
        <f t="shared" si="397"/>
        <v>0</v>
      </c>
      <c r="J655" s="11"/>
      <c r="K655" s="11">
        <f>H655*E655</f>
        <v>0</v>
      </c>
      <c r="L655" s="65" t="s">
        <v>15</v>
      </c>
      <c r="N655" s="10"/>
    </row>
    <row r="656" spans="1:14" x14ac:dyDescent="0.25">
      <c r="A656" s="222">
        <v>624</v>
      </c>
      <c r="B656" s="138" t="s">
        <v>87</v>
      </c>
      <c r="C656" s="102" t="s">
        <v>0</v>
      </c>
      <c r="D656" s="103">
        <v>1</v>
      </c>
      <c r="E656" s="11">
        <f>E654*D656</f>
        <v>5</v>
      </c>
      <c r="F656" s="11">
        <f t="shared" si="396"/>
        <v>0</v>
      </c>
      <c r="G656" s="11"/>
      <c r="H656" s="540"/>
      <c r="I656" s="11">
        <f t="shared" si="397"/>
        <v>0</v>
      </c>
      <c r="J656" s="11"/>
      <c r="K656" s="11">
        <f>H656*E656</f>
        <v>0</v>
      </c>
      <c r="L656" s="65" t="s">
        <v>15</v>
      </c>
      <c r="N656" s="10"/>
    </row>
    <row r="657" spans="1:14" ht="31.5" x14ac:dyDescent="0.25">
      <c r="A657" s="222">
        <v>625</v>
      </c>
      <c r="B657" s="138" t="s">
        <v>90</v>
      </c>
      <c r="C657" s="102" t="s">
        <v>0</v>
      </c>
      <c r="D657" s="103">
        <v>0.15</v>
      </c>
      <c r="E657" s="11">
        <f>ROUNDUP(E654*D657,0)</f>
        <v>1</v>
      </c>
      <c r="F657" s="11">
        <f t="shared" si="396"/>
        <v>0</v>
      </c>
      <c r="G657" s="11"/>
      <c r="H657" s="540"/>
      <c r="I657" s="11">
        <f t="shared" si="397"/>
        <v>0</v>
      </c>
      <c r="J657" s="11"/>
      <c r="K657" s="11">
        <f>H657*E657</f>
        <v>0</v>
      </c>
      <c r="L657" s="65" t="s">
        <v>15</v>
      </c>
      <c r="N657" s="10"/>
    </row>
    <row r="658" spans="1:14" x14ac:dyDescent="0.25">
      <c r="A658" s="529">
        <v>626</v>
      </c>
      <c r="B658" s="66" t="s">
        <v>67</v>
      </c>
      <c r="C658" s="127" t="s">
        <v>0</v>
      </c>
      <c r="D658" s="68"/>
      <c r="E658" s="15">
        <v>1</v>
      </c>
      <c r="F658" s="537">
        <f t="shared" ref="F658:F661" si="398">G658+H658</f>
        <v>0</v>
      </c>
      <c r="G658" s="538"/>
      <c r="H658" s="537"/>
      <c r="I658" s="537">
        <f t="shared" ref="I658:I661" si="399">J658+K658</f>
        <v>0</v>
      </c>
      <c r="J658" s="539">
        <f>G658*E658</f>
        <v>0</v>
      </c>
      <c r="K658" s="537"/>
      <c r="L658" s="70"/>
      <c r="N658" s="10"/>
    </row>
    <row r="659" spans="1:14" x14ac:dyDescent="0.25">
      <c r="A659" s="222">
        <v>627</v>
      </c>
      <c r="B659" s="71" t="s">
        <v>121</v>
      </c>
      <c r="C659" s="63" t="s">
        <v>0</v>
      </c>
      <c r="D659" s="64">
        <v>1</v>
      </c>
      <c r="E659" s="11">
        <f>E658*D659</f>
        <v>1</v>
      </c>
      <c r="F659" s="11">
        <f t="shared" si="398"/>
        <v>0</v>
      </c>
      <c r="G659" s="11"/>
      <c r="H659" s="540"/>
      <c r="I659" s="11">
        <f t="shared" si="399"/>
        <v>0</v>
      </c>
      <c r="J659" s="11"/>
      <c r="K659" s="11">
        <f>H659*E659</f>
        <v>0</v>
      </c>
      <c r="L659" s="65" t="s">
        <v>15</v>
      </c>
      <c r="N659" s="10"/>
    </row>
    <row r="660" spans="1:14" x14ac:dyDescent="0.25">
      <c r="A660" s="222">
        <v>628</v>
      </c>
      <c r="B660" s="71" t="s">
        <v>122</v>
      </c>
      <c r="C660" s="63" t="s">
        <v>0</v>
      </c>
      <c r="D660" s="64">
        <v>1</v>
      </c>
      <c r="E660" s="11">
        <f>E658*D660</f>
        <v>1</v>
      </c>
      <c r="F660" s="11">
        <f t="shared" si="398"/>
        <v>0</v>
      </c>
      <c r="G660" s="11"/>
      <c r="H660" s="540"/>
      <c r="I660" s="11">
        <f t="shared" si="399"/>
        <v>0</v>
      </c>
      <c r="J660" s="11"/>
      <c r="K660" s="11">
        <f>H660*E660</f>
        <v>0</v>
      </c>
      <c r="L660" s="65" t="s">
        <v>15</v>
      </c>
      <c r="N660" s="10"/>
    </row>
    <row r="661" spans="1:14" x14ac:dyDescent="0.25">
      <c r="A661" s="222">
        <v>629</v>
      </c>
      <c r="B661" s="71" t="s">
        <v>33</v>
      </c>
      <c r="C661" s="63" t="s">
        <v>0</v>
      </c>
      <c r="D661" s="64">
        <v>3</v>
      </c>
      <c r="E661" s="11">
        <f>E658*D661</f>
        <v>3</v>
      </c>
      <c r="F661" s="11">
        <f t="shared" si="398"/>
        <v>0</v>
      </c>
      <c r="G661" s="11"/>
      <c r="H661" s="540"/>
      <c r="I661" s="11">
        <f t="shared" si="399"/>
        <v>0</v>
      </c>
      <c r="J661" s="11"/>
      <c r="K661" s="11">
        <f>H661*E661</f>
        <v>0</v>
      </c>
      <c r="L661" s="65" t="s">
        <v>15</v>
      </c>
      <c r="N661" s="10"/>
    </row>
    <row r="662" spans="1:14" x14ac:dyDescent="0.25">
      <c r="A662" s="529">
        <v>630</v>
      </c>
      <c r="B662" s="66" t="s">
        <v>59</v>
      </c>
      <c r="C662" s="127" t="s">
        <v>30</v>
      </c>
      <c r="D662" s="68"/>
      <c r="E662" s="15">
        <f>Расч.!P155</f>
        <v>57.15</v>
      </c>
      <c r="F662" s="537">
        <f t="shared" ref="F662:F665" si="400">G662+H662</f>
        <v>0</v>
      </c>
      <c r="G662" s="538"/>
      <c r="H662" s="537"/>
      <c r="I662" s="537">
        <f t="shared" ref="I662:I665" si="401">J662+K662</f>
        <v>0</v>
      </c>
      <c r="J662" s="539">
        <f>G662*E662</f>
        <v>0</v>
      </c>
      <c r="K662" s="537"/>
      <c r="L662" s="70"/>
      <c r="N662" s="10"/>
    </row>
    <row r="663" spans="1:14" x14ac:dyDescent="0.25">
      <c r="A663" s="222">
        <v>631</v>
      </c>
      <c r="B663" s="138" t="s">
        <v>31</v>
      </c>
      <c r="C663" s="103" t="s">
        <v>0</v>
      </c>
      <c r="D663" s="103">
        <v>5</v>
      </c>
      <c r="E663" s="77">
        <f>ROUND(E662*D663,0)</f>
        <v>286</v>
      </c>
      <c r="F663" s="11">
        <f t="shared" si="400"/>
        <v>0</v>
      </c>
      <c r="G663" s="11"/>
      <c r="H663" s="540"/>
      <c r="I663" s="11">
        <f t="shared" si="401"/>
        <v>0</v>
      </c>
      <c r="J663" s="11"/>
      <c r="K663" s="11">
        <f>H663*E663</f>
        <v>0</v>
      </c>
      <c r="L663" s="65" t="s">
        <v>15</v>
      </c>
      <c r="N663" s="10"/>
    </row>
    <row r="664" spans="1:14" ht="47.25" x14ac:dyDescent="0.25">
      <c r="A664" s="222">
        <v>632</v>
      </c>
      <c r="B664" s="138" t="s">
        <v>142</v>
      </c>
      <c r="C664" s="196" t="s">
        <v>2</v>
      </c>
      <c r="D664" s="196">
        <v>1.1000000000000001</v>
      </c>
      <c r="E664" s="77">
        <f>E662*D664</f>
        <v>62.87</v>
      </c>
      <c r="F664" s="11">
        <f t="shared" si="400"/>
        <v>0</v>
      </c>
      <c r="G664" s="11"/>
      <c r="H664" s="540"/>
      <c r="I664" s="11">
        <f t="shared" si="401"/>
        <v>0</v>
      </c>
      <c r="J664" s="11"/>
      <c r="K664" s="11">
        <f>H664*E664</f>
        <v>0</v>
      </c>
      <c r="L664" s="65" t="s">
        <v>15</v>
      </c>
      <c r="N664" s="10"/>
    </row>
    <row r="665" spans="1:14" x14ac:dyDescent="0.25">
      <c r="A665" s="222">
        <v>633</v>
      </c>
      <c r="B665" s="138" t="s">
        <v>34</v>
      </c>
      <c r="C665" s="102" t="s">
        <v>0</v>
      </c>
      <c r="D665" s="103">
        <v>1.66</v>
      </c>
      <c r="E665" s="11">
        <f>ROUND(E662*D665,0)</f>
        <v>95</v>
      </c>
      <c r="F665" s="11">
        <f t="shared" si="400"/>
        <v>0</v>
      </c>
      <c r="G665" s="11"/>
      <c r="H665" s="540"/>
      <c r="I665" s="11">
        <f t="shared" si="401"/>
        <v>0</v>
      </c>
      <c r="J665" s="11"/>
      <c r="K665" s="11">
        <f>H665*E665</f>
        <v>0</v>
      </c>
      <c r="L665" s="65" t="s">
        <v>15</v>
      </c>
      <c r="N665" s="10"/>
    </row>
    <row r="666" spans="1:14" x14ac:dyDescent="0.25">
      <c r="A666" s="529">
        <v>634</v>
      </c>
      <c r="B666" s="419" t="s">
        <v>64</v>
      </c>
      <c r="C666" s="407" t="s">
        <v>30</v>
      </c>
      <c r="D666" s="408"/>
      <c r="E666" s="15">
        <f>18.8+1.05</f>
        <v>19.850000000000001</v>
      </c>
      <c r="F666" s="537">
        <f t="shared" ref="F666:F670" si="402">G666+H666</f>
        <v>0</v>
      </c>
      <c r="G666" s="538"/>
      <c r="H666" s="537"/>
      <c r="I666" s="537">
        <f t="shared" ref="I666:I670" si="403">J666+K666</f>
        <v>0</v>
      </c>
      <c r="J666" s="539">
        <f>G666*E666</f>
        <v>0</v>
      </c>
      <c r="K666" s="537"/>
      <c r="L666" s="409"/>
      <c r="N666" s="10"/>
    </row>
    <row r="667" spans="1:14" ht="47.25" x14ac:dyDescent="0.25">
      <c r="A667" s="222">
        <v>635</v>
      </c>
      <c r="B667" s="410" t="s">
        <v>222</v>
      </c>
      <c r="C667" s="397" t="s">
        <v>2</v>
      </c>
      <c r="D667" s="398">
        <v>1.1000000000000001</v>
      </c>
      <c r="E667" s="11">
        <f>18.8*D667</f>
        <v>20.68</v>
      </c>
      <c r="F667" s="11">
        <f t="shared" si="402"/>
        <v>0</v>
      </c>
      <c r="G667" s="11"/>
      <c r="H667" s="540"/>
      <c r="I667" s="11">
        <f t="shared" si="403"/>
        <v>0</v>
      </c>
      <c r="J667" s="11"/>
      <c r="K667" s="11">
        <f>H667*E667</f>
        <v>0</v>
      </c>
      <c r="L667" s="417" t="s">
        <v>223</v>
      </c>
      <c r="N667" s="10"/>
    </row>
    <row r="668" spans="1:14" ht="47.25" x14ac:dyDescent="0.25">
      <c r="A668" s="222">
        <v>636</v>
      </c>
      <c r="B668" s="410" t="s">
        <v>237</v>
      </c>
      <c r="C668" s="397" t="s">
        <v>2</v>
      </c>
      <c r="D668" s="398">
        <v>1.1000000000000001</v>
      </c>
      <c r="E668" s="11">
        <f>1.05*D668</f>
        <v>1.1599999999999999</v>
      </c>
      <c r="F668" s="11">
        <f t="shared" si="402"/>
        <v>0</v>
      </c>
      <c r="G668" s="11"/>
      <c r="H668" s="540"/>
      <c r="I668" s="11">
        <f t="shared" si="403"/>
        <v>0</v>
      </c>
      <c r="J668" s="11"/>
      <c r="K668" s="11">
        <f>H668*E668</f>
        <v>0</v>
      </c>
      <c r="L668" s="417" t="s">
        <v>223</v>
      </c>
      <c r="N668" s="10"/>
    </row>
    <row r="669" spans="1:14" x14ac:dyDescent="0.25">
      <c r="A669" s="222">
        <v>637</v>
      </c>
      <c r="B669" s="410" t="s">
        <v>31</v>
      </c>
      <c r="C669" s="398" t="s">
        <v>0</v>
      </c>
      <c r="D669" s="398">
        <v>5</v>
      </c>
      <c r="E669" s="11">
        <f>ROUND(E666*D669,0)</f>
        <v>99</v>
      </c>
      <c r="F669" s="11">
        <f t="shared" si="402"/>
        <v>0</v>
      </c>
      <c r="G669" s="11"/>
      <c r="H669" s="540"/>
      <c r="I669" s="11">
        <f t="shared" si="403"/>
        <v>0</v>
      </c>
      <c r="J669" s="11"/>
      <c r="K669" s="11">
        <f>H669*E669</f>
        <v>0</v>
      </c>
      <c r="L669" s="400" t="s">
        <v>15</v>
      </c>
      <c r="N669" s="10"/>
    </row>
    <row r="670" spans="1:14" x14ac:dyDescent="0.25">
      <c r="A670" s="222">
        <v>638</v>
      </c>
      <c r="B670" s="410" t="s">
        <v>26</v>
      </c>
      <c r="C670" s="397" t="s">
        <v>27</v>
      </c>
      <c r="D670" s="421">
        <v>1.0149999999999999</v>
      </c>
      <c r="E670" s="11">
        <f>18.8*0.12*((0.03+0.01)/2)*D670</f>
        <v>0.05</v>
      </c>
      <c r="F670" s="11">
        <f t="shared" si="402"/>
        <v>0</v>
      </c>
      <c r="G670" s="11"/>
      <c r="H670" s="540"/>
      <c r="I670" s="11">
        <f t="shared" si="403"/>
        <v>0</v>
      </c>
      <c r="J670" s="11"/>
      <c r="K670" s="11">
        <f>H670*E670</f>
        <v>0</v>
      </c>
      <c r="L670" s="400" t="s">
        <v>15</v>
      </c>
      <c r="N670" s="10"/>
    </row>
    <row r="671" spans="1:14" ht="31.5" x14ac:dyDescent="0.25">
      <c r="A671" s="529">
        <v>639</v>
      </c>
      <c r="B671" s="145" t="s">
        <v>117</v>
      </c>
      <c r="C671" s="126" t="s">
        <v>30</v>
      </c>
      <c r="D671" s="79"/>
      <c r="E671" s="80">
        <f>Расч.!P156</f>
        <v>15.24</v>
      </c>
      <c r="F671" s="537">
        <f t="shared" ref="F671:F676" si="404">G671+H671</f>
        <v>0</v>
      </c>
      <c r="G671" s="538"/>
      <c r="H671" s="537"/>
      <c r="I671" s="537">
        <f t="shared" ref="I671:I676" si="405">J671+K671</f>
        <v>0</v>
      </c>
      <c r="J671" s="539">
        <f>G671*E671</f>
        <v>0</v>
      </c>
      <c r="K671" s="537"/>
      <c r="L671" s="81"/>
      <c r="N671" s="10"/>
    </row>
    <row r="672" spans="1:14" x14ac:dyDescent="0.25">
      <c r="A672" s="222">
        <v>640</v>
      </c>
      <c r="B672" s="144" t="s">
        <v>31</v>
      </c>
      <c r="C672" s="146" t="s">
        <v>0</v>
      </c>
      <c r="D672" s="147">
        <v>5</v>
      </c>
      <c r="E672" s="84">
        <f>ROUND(E671*D672,0)</f>
        <v>76</v>
      </c>
      <c r="F672" s="11">
        <f t="shared" si="404"/>
        <v>0</v>
      </c>
      <c r="G672" s="11"/>
      <c r="H672" s="540"/>
      <c r="I672" s="11">
        <f t="shared" si="405"/>
        <v>0</v>
      </c>
      <c r="J672" s="11"/>
      <c r="K672" s="11">
        <f>H672*E672</f>
        <v>0</v>
      </c>
      <c r="L672" s="85" t="s">
        <v>36</v>
      </c>
      <c r="N672" s="10"/>
    </row>
    <row r="673" spans="1:14" ht="47.25" x14ac:dyDescent="0.25">
      <c r="A673" s="222">
        <v>641</v>
      </c>
      <c r="B673" s="422" t="s">
        <v>221</v>
      </c>
      <c r="C673" s="148" t="s">
        <v>2</v>
      </c>
      <c r="D673" s="147">
        <v>1.1000000000000001</v>
      </c>
      <c r="E673" s="84">
        <f>E671*D673</f>
        <v>16.760000000000002</v>
      </c>
      <c r="F673" s="11">
        <f t="shared" si="404"/>
        <v>0</v>
      </c>
      <c r="G673" s="11"/>
      <c r="H673" s="540"/>
      <c r="I673" s="11">
        <f t="shared" si="405"/>
        <v>0</v>
      </c>
      <c r="J673" s="11"/>
      <c r="K673" s="11">
        <f>H673*E673</f>
        <v>0</v>
      </c>
      <c r="L673" s="85" t="s">
        <v>36</v>
      </c>
      <c r="N673" s="10"/>
    </row>
    <row r="674" spans="1:14" ht="31.5" x14ac:dyDescent="0.25">
      <c r="A674" s="222">
        <v>642</v>
      </c>
      <c r="B674" s="238" t="s">
        <v>180</v>
      </c>
      <c r="C674" s="148" t="s">
        <v>2</v>
      </c>
      <c r="D674" s="147">
        <v>1.1000000000000001</v>
      </c>
      <c r="E674" s="84">
        <f>E671*D674</f>
        <v>16.760000000000002</v>
      </c>
      <c r="F674" s="11">
        <f t="shared" si="404"/>
        <v>0</v>
      </c>
      <c r="G674" s="11"/>
      <c r="H674" s="540"/>
      <c r="I674" s="11">
        <f t="shared" si="405"/>
        <v>0</v>
      </c>
      <c r="J674" s="11"/>
      <c r="K674" s="11">
        <f>H674*E674</f>
        <v>0</v>
      </c>
      <c r="L674" s="85" t="s">
        <v>36</v>
      </c>
      <c r="N674" s="10"/>
    </row>
    <row r="675" spans="1:14" x14ac:dyDescent="0.25">
      <c r="A675" s="222">
        <v>643</v>
      </c>
      <c r="B675" s="144" t="s">
        <v>54</v>
      </c>
      <c r="C675" s="148" t="s">
        <v>27</v>
      </c>
      <c r="D675" s="239">
        <v>0.1</v>
      </c>
      <c r="E675" s="84">
        <f>E671*D675</f>
        <v>1.52</v>
      </c>
      <c r="F675" s="11">
        <f t="shared" si="404"/>
        <v>0</v>
      </c>
      <c r="G675" s="11"/>
      <c r="H675" s="540"/>
      <c r="I675" s="11">
        <f t="shared" si="405"/>
        <v>0</v>
      </c>
      <c r="J675" s="11"/>
      <c r="K675" s="11">
        <f>H675*E675</f>
        <v>0</v>
      </c>
      <c r="L675" s="85" t="s">
        <v>36</v>
      </c>
      <c r="N675" s="10"/>
    </row>
    <row r="676" spans="1:14" x14ac:dyDescent="0.25">
      <c r="A676" s="222">
        <v>644</v>
      </c>
      <c r="B676" s="134" t="s">
        <v>34</v>
      </c>
      <c r="C676" s="149" t="s">
        <v>0</v>
      </c>
      <c r="D676" s="103">
        <v>3.32</v>
      </c>
      <c r="E676" s="84">
        <f>ROUND(E671*D676,0)</f>
        <v>51</v>
      </c>
      <c r="F676" s="11">
        <f t="shared" si="404"/>
        <v>0</v>
      </c>
      <c r="G676" s="11"/>
      <c r="H676" s="540"/>
      <c r="I676" s="11">
        <f t="shared" si="405"/>
        <v>0</v>
      </c>
      <c r="J676" s="11"/>
      <c r="K676" s="11">
        <f>H676*E676</f>
        <v>0</v>
      </c>
      <c r="L676" s="85" t="s">
        <v>36</v>
      </c>
      <c r="N676" s="10"/>
    </row>
    <row r="677" spans="1:14" ht="31.5" x14ac:dyDescent="0.25">
      <c r="A677" s="529">
        <v>645</v>
      </c>
      <c r="B677" s="108" t="s">
        <v>196</v>
      </c>
      <c r="C677" s="121" t="s">
        <v>1</v>
      </c>
      <c r="D677" s="110"/>
      <c r="E677" s="30">
        <v>1</v>
      </c>
      <c r="F677" s="537">
        <f t="shared" ref="F677:F678" si="406">G677+H677</f>
        <v>0</v>
      </c>
      <c r="G677" s="538"/>
      <c r="H677" s="537"/>
      <c r="I677" s="537">
        <f t="shared" ref="I677:I678" si="407">J677+K677</f>
        <v>0</v>
      </c>
      <c r="J677" s="539">
        <f>G677*E677</f>
        <v>0</v>
      </c>
      <c r="K677" s="537"/>
      <c r="L677" s="112"/>
      <c r="N677" s="10"/>
    </row>
    <row r="678" spans="1:14" x14ac:dyDescent="0.25">
      <c r="A678" s="222">
        <v>646</v>
      </c>
      <c r="B678" s="107" t="s">
        <v>26</v>
      </c>
      <c r="C678" s="190" t="s">
        <v>27</v>
      </c>
      <c r="D678" s="250">
        <v>1.0149999999999999</v>
      </c>
      <c r="E678" s="39">
        <f>E677*0.1*D678</f>
        <v>0.1</v>
      </c>
      <c r="F678" s="11">
        <f t="shared" si="406"/>
        <v>0</v>
      </c>
      <c r="G678" s="11"/>
      <c r="H678" s="540"/>
      <c r="I678" s="11">
        <f t="shared" si="407"/>
        <v>0</v>
      </c>
      <c r="J678" s="11"/>
      <c r="K678" s="11">
        <f>H678*E678</f>
        <v>0</v>
      </c>
      <c r="L678" s="106" t="s">
        <v>15</v>
      </c>
      <c r="N678" s="10"/>
    </row>
    <row r="679" spans="1:14" ht="47.25" x14ac:dyDescent="0.25">
      <c r="A679" s="529">
        <v>647</v>
      </c>
      <c r="B679" s="89" t="s">
        <v>123</v>
      </c>
      <c r="C679" s="301" t="s">
        <v>0</v>
      </c>
      <c r="D679" s="90"/>
      <c r="E679" s="78">
        <v>1</v>
      </c>
      <c r="F679" s="537">
        <f t="shared" ref="F679:F685" si="408">G679+H679</f>
        <v>0</v>
      </c>
      <c r="G679" s="538"/>
      <c r="H679" s="537"/>
      <c r="I679" s="537">
        <f t="shared" ref="I679:I685" si="409">J679+K679</f>
        <v>0</v>
      </c>
      <c r="J679" s="539">
        <f>G679*E679</f>
        <v>0</v>
      </c>
      <c r="K679" s="537"/>
      <c r="L679" s="91"/>
      <c r="N679" s="10"/>
    </row>
    <row r="680" spans="1:14" x14ac:dyDescent="0.25">
      <c r="A680" s="222">
        <v>648</v>
      </c>
      <c r="B680" s="423" t="s">
        <v>239</v>
      </c>
      <c r="C680" s="397" t="s">
        <v>3</v>
      </c>
      <c r="D680" s="398">
        <v>1.03</v>
      </c>
      <c r="E680" s="38">
        <f>59.17*D680*E679</f>
        <v>60.95</v>
      </c>
      <c r="F680" s="11">
        <f t="shared" si="408"/>
        <v>0</v>
      </c>
      <c r="G680" s="11"/>
      <c r="H680" s="540"/>
      <c r="I680" s="11">
        <f t="shared" si="409"/>
        <v>0</v>
      </c>
      <c r="J680" s="11"/>
      <c r="K680" s="11">
        <f>H680*E680</f>
        <v>0</v>
      </c>
      <c r="L680" s="400" t="s">
        <v>15</v>
      </c>
      <c r="N680" s="10"/>
    </row>
    <row r="681" spans="1:14" x14ac:dyDescent="0.25">
      <c r="A681" s="222">
        <v>649</v>
      </c>
      <c r="B681" s="424" t="s">
        <v>124</v>
      </c>
      <c r="C681" s="425" t="s">
        <v>3</v>
      </c>
      <c r="D681" s="426">
        <v>1.03</v>
      </c>
      <c r="E681" s="427">
        <f>14.18*D681*E679</f>
        <v>14.61</v>
      </c>
      <c r="F681" s="11">
        <f t="shared" si="408"/>
        <v>0</v>
      </c>
      <c r="G681" s="11"/>
      <c r="H681" s="540"/>
      <c r="I681" s="11">
        <f t="shared" si="409"/>
        <v>0</v>
      </c>
      <c r="J681" s="11"/>
      <c r="K681" s="11">
        <f>H681*E681</f>
        <v>0</v>
      </c>
      <c r="L681" s="428" t="s">
        <v>15</v>
      </c>
      <c r="N681" s="10"/>
    </row>
    <row r="682" spans="1:14" x14ac:dyDescent="0.25">
      <c r="A682" s="222">
        <v>650</v>
      </c>
      <c r="B682" s="429" t="s">
        <v>125</v>
      </c>
      <c r="C682" s="430" t="s">
        <v>3</v>
      </c>
      <c r="D682" s="431">
        <v>1.03</v>
      </c>
      <c r="E682" s="432">
        <f>30.72*D682*E679</f>
        <v>31.64</v>
      </c>
      <c r="F682" s="11">
        <f t="shared" si="408"/>
        <v>0</v>
      </c>
      <c r="G682" s="11"/>
      <c r="H682" s="540"/>
      <c r="I682" s="11">
        <f t="shared" si="409"/>
        <v>0</v>
      </c>
      <c r="J682" s="11"/>
      <c r="K682" s="11">
        <f>H682*E682</f>
        <v>0</v>
      </c>
      <c r="L682" s="433" t="s">
        <v>15</v>
      </c>
      <c r="N682" s="10"/>
    </row>
    <row r="683" spans="1:14" x14ac:dyDescent="0.25">
      <c r="A683" s="222">
        <v>651</v>
      </c>
      <c r="B683" s="434" t="s">
        <v>126</v>
      </c>
      <c r="C683" s="435" t="s">
        <v>3</v>
      </c>
      <c r="D683" s="436">
        <v>1.03</v>
      </c>
      <c r="E683" s="437">
        <f>65.5*D683</f>
        <v>67.47</v>
      </c>
      <c r="F683" s="11">
        <f t="shared" si="408"/>
        <v>0</v>
      </c>
      <c r="G683" s="11"/>
      <c r="H683" s="540"/>
      <c r="I683" s="11">
        <f t="shared" si="409"/>
        <v>0</v>
      </c>
      <c r="J683" s="11"/>
      <c r="K683" s="11">
        <f>H683*E683</f>
        <v>0</v>
      </c>
      <c r="L683" s="438" t="s">
        <v>15</v>
      </c>
      <c r="N683" s="10"/>
    </row>
    <row r="684" spans="1:14" x14ac:dyDescent="0.25">
      <c r="A684" s="222">
        <v>652</v>
      </c>
      <c r="B684" s="439" t="s">
        <v>70</v>
      </c>
      <c r="C684" s="440" t="s">
        <v>3</v>
      </c>
      <c r="D684" s="441">
        <v>0.24</v>
      </c>
      <c r="E684" s="442">
        <f>4.19*D684*E679</f>
        <v>1.01</v>
      </c>
      <c r="F684" s="11">
        <f t="shared" si="408"/>
        <v>0</v>
      </c>
      <c r="G684" s="11"/>
      <c r="H684" s="540"/>
      <c r="I684" s="11">
        <f t="shared" si="409"/>
        <v>0</v>
      </c>
      <c r="J684" s="11"/>
      <c r="K684" s="11">
        <f>H684*E684</f>
        <v>0</v>
      </c>
      <c r="L684" s="444" t="s">
        <v>15</v>
      </c>
      <c r="N684" s="10"/>
    </row>
    <row r="685" spans="1:14" x14ac:dyDescent="0.25">
      <c r="A685" s="222">
        <v>653</v>
      </c>
      <c r="B685" s="445" t="s">
        <v>71</v>
      </c>
      <c r="C685" s="446" t="s">
        <v>3</v>
      </c>
      <c r="D685" s="447">
        <v>0.3</v>
      </c>
      <c r="E685" s="448">
        <f>4.19*D685*E679</f>
        <v>1.26</v>
      </c>
      <c r="F685" s="11">
        <f t="shared" si="408"/>
        <v>0</v>
      </c>
      <c r="G685" s="11"/>
      <c r="H685" s="540"/>
      <c r="I685" s="11">
        <f t="shared" si="409"/>
        <v>0</v>
      </c>
      <c r="J685" s="11"/>
      <c r="K685" s="11">
        <f>H685*E685</f>
        <v>0</v>
      </c>
      <c r="L685" s="449" t="s">
        <v>15</v>
      </c>
      <c r="N685" s="10"/>
    </row>
    <row r="686" spans="1:14" x14ac:dyDescent="0.25">
      <c r="A686" s="462"/>
      <c r="B686" s="451" t="s">
        <v>63</v>
      </c>
      <c r="C686" s="452"/>
      <c r="D686" s="453"/>
      <c r="E686" s="453"/>
      <c r="F686" s="453"/>
      <c r="G686" s="453"/>
      <c r="H686" s="453"/>
      <c r="I686" s="453"/>
      <c r="J686" s="453"/>
      <c r="K686" s="453"/>
      <c r="L686" s="454"/>
      <c r="N686" s="10"/>
    </row>
    <row r="687" spans="1:14" ht="63" x14ac:dyDescent="0.25">
      <c r="A687" s="536">
        <v>654</v>
      </c>
      <c r="B687" s="455" t="s">
        <v>224</v>
      </c>
      <c r="C687" s="456" t="s">
        <v>0</v>
      </c>
      <c r="D687" s="457"/>
      <c r="E687" s="15">
        <v>3</v>
      </c>
      <c r="F687" s="537">
        <f t="shared" ref="F687:F688" si="410">G687+H687</f>
        <v>0</v>
      </c>
      <c r="G687" s="538"/>
      <c r="H687" s="537"/>
      <c r="I687" s="537">
        <f t="shared" ref="I687:I688" si="411">J687+K687</f>
        <v>0</v>
      </c>
      <c r="J687" s="539">
        <f>G687*E687</f>
        <v>0</v>
      </c>
      <c r="K687" s="537"/>
      <c r="L687" s="458"/>
      <c r="N687" s="10"/>
    </row>
    <row r="688" spans="1:14" x14ac:dyDescent="0.25">
      <c r="A688" s="450">
        <v>655</v>
      </c>
      <c r="B688" s="459" t="s">
        <v>225</v>
      </c>
      <c r="C688" s="460" t="s">
        <v>0</v>
      </c>
      <c r="D688" s="441">
        <v>1</v>
      </c>
      <c r="E688" s="297">
        <f>E687*D688</f>
        <v>3</v>
      </c>
      <c r="F688" s="11">
        <f t="shared" si="410"/>
        <v>0</v>
      </c>
      <c r="G688" s="11"/>
      <c r="H688" s="540"/>
      <c r="I688" s="11">
        <f t="shared" si="411"/>
        <v>0</v>
      </c>
      <c r="J688" s="11"/>
      <c r="K688" s="11">
        <f>H688*E688</f>
        <v>0</v>
      </c>
      <c r="L688" s="461" t="s">
        <v>226</v>
      </c>
      <c r="N688" s="10"/>
    </row>
    <row r="689" spans="1:14" ht="63" x14ac:dyDescent="0.25">
      <c r="A689" s="536">
        <v>656</v>
      </c>
      <c r="B689" s="455" t="s">
        <v>224</v>
      </c>
      <c r="C689" s="456" t="s">
        <v>0</v>
      </c>
      <c r="D689" s="457"/>
      <c r="E689" s="15">
        <v>6</v>
      </c>
      <c r="F689" s="537">
        <f t="shared" ref="F689:F690" si="412">G689+H689</f>
        <v>0</v>
      </c>
      <c r="G689" s="538"/>
      <c r="H689" s="537"/>
      <c r="I689" s="537">
        <f t="shared" ref="I689:I690" si="413">J689+K689</f>
        <v>0</v>
      </c>
      <c r="J689" s="539">
        <f>G689*E689</f>
        <v>0</v>
      </c>
      <c r="K689" s="537"/>
      <c r="L689" s="458"/>
      <c r="N689" s="10"/>
    </row>
    <row r="690" spans="1:14" x14ac:dyDescent="0.25">
      <c r="A690" s="450">
        <v>657</v>
      </c>
      <c r="B690" s="459" t="s">
        <v>227</v>
      </c>
      <c r="C690" s="460" t="s">
        <v>0</v>
      </c>
      <c r="D690" s="441">
        <v>1</v>
      </c>
      <c r="E690" s="297">
        <f>E689*D690</f>
        <v>6</v>
      </c>
      <c r="F690" s="11">
        <f t="shared" si="412"/>
        <v>0</v>
      </c>
      <c r="G690" s="11"/>
      <c r="H690" s="540"/>
      <c r="I690" s="11">
        <f t="shared" si="413"/>
        <v>0</v>
      </c>
      <c r="J690" s="11"/>
      <c r="K690" s="11">
        <f>H690*E690</f>
        <v>0</v>
      </c>
      <c r="L690" s="461" t="s">
        <v>226</v>
      </c>
      <c r="N690" s="10"/>
    </row>
    <row r="691" spans="1:14" ht="63" x14ac:dyDescent="0.25">
      <c r="A691" s="536">
        <v>658</v>
      </c>
      <c r="B691" s="455" t="s">
        <v>224</v>
      </c>
      <c r="C691" s="456" t="s">
        <v>0</v>
      </c>
      <c r="D691" s="457"/>
      <c r="E691" s="15">
        <v>3</v>
      </c>
      <c r="F691" s="537">
        <f t="shared" ref="F691:F692" si="414">G691+H691</f>
        <v>0</v>
      </c>
      <c r="G691" s="538"/>
      <c r="H691" s="537"/>
      <c r="I691" s="537">
        <f t="shared" ref="I691:I692" si="415">J691+K691</f>
        <v>0</v>
      </c>
      <c r="J691" s="539">
        <f>G691*E691</f>
        <v>0</v>
      </c>
      <c r="K691" s="537"/>
      <c r="L691" s="458"/>
      <c r="N691" s="10"/>
    </row>
    <row r="692" spans="1:14" x14ac:dyDescent="0.25">
      <c r="A692" s="450">
        <v>659</v>
      </c>
      <c r="B692" s="459" t="s">
        <v>228</v>
      </c>
      <c r="C692" s="460" t="s">
        <v>0</v>
      </c>
      <c r="D692" s="441">
        <v>1</v>
      </c>
      <c r="E692" s="297">
        <f>E691*D692</f>
        <v>3</v>
      </c>
      <c r="F692" s="11">
        <f t="shared" si="414"/>
        <v>0</v>
      </c>
      <c r="G692" s="11"/>
      <c r="H692" s="540"/>
      <c r="I692" s="11">
        <f t="shared" si="415"/>
        <v>0</v>
      </c>
      <c r="J692" s="11"/>
      <c r="K692" s="11">
        <f>H692*E692</f>
        <v>0</v>
      </c>
      <c r="L692" s="461" t="s">
        <v>226</v>
      </c>
      <c r="N692" s="10"/>
    </row>
    <row r="693" spans="1:14" ht="63" x14ac:dyDescent="0.25">
      <c r="A693" s="536">
        <v>660</v>
      </c>
      <c r="B693" s="455" t="s">
        <v>229</v>
      </c>
      <c r="C693" s="456" t="s">
        <v>0</v>
      </c>
      <c r="D693" s="457"/>
      <c r="E693" s="15">
        <v>1</v>
      </c>
      <c r="F693" s="537">
        <f t="shared" ref="F693:F694" si="416">G693+H693</f>
        <v>0</v>
      </c>
      <c r="G693" s="538"/>
      <c r="H693" s="537"/>
      <c r="I693" s="537">
        <f t="shared" ref="I693:I694" si="417">J693+K693</f>
        <v>0</v>
      </c>
      <c r="J693" s="539">
        <f>G693*E693</f>
        <v>0</v>
      </c>
      <c r="K693" s="537"/>
      <c r="L693" s="458"/>
      <c r="N693" s="10"/>
    </row>
    <row r="694" spans="1:14" x14ac:dyDescent="0.25">
      <c r="A694" s="450">
        <v>661</v>
      </c>
      <c r="B694" s="459" t="s">
        <v>230</v>
      </c>
      <c r="C694" s="460" t="s">
        <v>0</v>
      </c>
      <c r="D694" s="441">
        <v>1</v>
      </c>
      <c r="E694" s="297">
        <f>E693*D694</f>
        <v>1</v>
      </c>
      <c r="F694" s="11">
        <f t="shared" si="416"/>
        <v>0</v>
      </c>
      <c r="G694" s="11"/>
      <c r="H694" s="540"/>
      <c r="I694" s="11">
        <f t="shared" si="417"/>
        <v>0</v>
      </c>
      <c r="J694" s="11"/>
      <c r="K694" s="11">
        <f>H694*E694</f>
        <v>0</v>
      </c>
      <c r="L694" s="461" t="s">
        <v>226</v>
      </c>
      <c r="N694" s="10"/>
    </row>
    <row r="695" spans="1:14" x14ac:dyDescent="0.25">
      <c r="A695" s="254"/>
      <c r="B695" s="150" t="s">
        <v>231</v>
      </c>
      <c r="C695" s="151"/>
      <c r="D695" s="152"/>
      <c r="E695" s="152"/>
      <c r="F695" s="152"/>
      <c r="G695" s="152"/>
      <c r="H695" s="152"/>
      <c r="I695" s="152"/>
      <c r="J695" s="152"/>
      <c r="K695" s="152"/>
      <c r="L695" s="153"/>
      <c r="N695" s="10"/>
    </row>
    <row r="696" spans="1:14" ht="31.5" x14ac:dyDescent="0.25">
      <c r="A696" s="529">
        <v>662</v>
      </c>
      <c r="B696" s="40" t="s">
        <v>217</v>
      </c>
      <c r="C696" s="124" t="s">
        <v>1</v>
      </c>
      <c r="D696" s="41"/>
      <c r="E696" s="136">
        <f>Расч.!O39+Расч.!O42*0.1</f>
        <v>9.25</v>
      </c>
      <c r="F696" s="537">
        <f t="shared" ref="F696:F697" si="418">G696+H696</f>
        <v>0</v>
      </c>
      <c r="G696" s="538"/>
      <c r="H696" s="537"/>
      <c r="I696" s="537">
        <f t="shared" ref="I696:I697" si="419">J696+K696</f>
        <v>0</v>
      </c>
      <c r="J696" s="539">
        <f>G696*E696</f>
        <v>0</v>
      </c>
      <c r="K696" s="537"/>
      <c r="L696" s="112"/>
      <c r="N696" s="10"/>
    </row>
    <row r="697" spans="1:14" x14ac:dyDescent="0.25">
      <c r="A697" s="222">
        <v>663</v>
      </c>
      <c r="B697" s="463" t="s">
        <v>218</v>
      </c>
      <c r="C697" s="44" t="s">
        <v>1</v>
      </c>
      <c r="D697" s="45">
        <v>1.1499999999999999</v>
      </c>
      <c r="E697" s="11">
        <f>E696*D697</f>
        <v>10.64</v>
      </c>
      <c r="F697" s="11">
        <f t="shared" si="418"/>
        <v>0</v>
      </c>
      <c r="G697" s="11"/>
      <c r="H697" s="540"/>
      <c r="I697" s="11">
        <f t="shared" si="419"/>
        <v>0</v>
      </c>
      <c r="J697" s="11"/>
      <c r="K697" s="11">
        <f>H697*E697</f>
        <v>0</v>
      </c>
      <c r="L697" s="106" t="s">
        <v>15</v>
      </c>
      <c r="N697" s="10"/>
    </row>
    <row r="698" spans="1:14" x14ac:dyDescent="0.25">
      <c r="A698" s="529">
        <v>664</v>
      </c>
      <c r="B698" s="131" t="s">
        <v>57</v>
      </c>
      <c r="C698" s="135" t="s">
        <v>1</v>
      </c>
      <c r="D698" s="133"/>
      <c r="E698" s="15">
        <f>Расч.!O39</f>
        <v>8.3000000000000007</v>
      </c>
      <c r="F698" s="537">
        <f t="shared" ref="F698:F699" si="420">G698+H698</f>
        <v>0</v>
      </c>
      <c r="G698" s="538"/>
      <c r="H698" s="537"/>
      <c r="I698" s="537">
        <f t="shared" ref="I698:I699" si="421">J698+K698</f>
        <v>0</v>
      </c>
      <c r="J698" s="539">
        <f>G698*E698</f>
        <v>0</v>
      </c>
      <c r="K698" s="537"/>
      <c r="L698" s="112"/>
      <c r="N698" s="10"/>
    </row>
    <row r="699" spans="1:14" ht="31.5" x14ac:dyDescent="0.25">
      <c r="A699" s="222">
        <v>665</v>
      </c>
      <c r="B699" s="134" t="s">
        <v>234</v>
      </c>
      <c r="C699" s="102" t="s">
        <v>27</v>
      </c>
      <c r="D699" s="103">
        <v>1.1000000000000001</v>
      </c>
      <c r="E699" s="11">
        <f>E698*D699*0.1</f>
        <v>0.91</v>
      </c>
      <c r="F699" s="11">
        <f t="shared" si="420"/>
        <v>0</v>
      </c>
      <c r="G699" s="11"/>
      <c r="H699" s="540"/>
      <c r="I699" s="11">
        <f t="shared" si="421"/>
        <v>0</v>
      </c>
      <c r="J699" s="11"/>
      <c r="K699" s="11">
        <f>H699*E699</f>
        <v>0</v>
      </c>
      <c r="L699" s="106" t="s">
        <v>15</v>
      </c>
      <c r="N699" s="10"/>
    </row>
    <row r="700" spans="1:14" x14ac:dyDescent="0.25">
      <c r="A700" s="529">
        <v>666</v>
      </c>
      <c r="B700" s="131" t="s">
        <v>60</v>
      </c>
      <c r="C700" s="135" t="s">
        <v>1</v>
      </c>
      <c r="D700" s="133"/>
      <c r="E700" s="15">
        <f>E698</f>
        <v>8.3000000000000007</v>
      </c>
      <c r="F700" s="537">
        <f t="shared" ref="F700:F701" si="422">G700+H700</f>
        <v>0</v>
      </c>
      <c r="G700" s="538"/>
      <c r="H700" s="537"/>
      <c r="I700" s="537">
        <f t="shared" ref="I700:I701" si="423">J700+K700</f>
        <v>0</v>
      </c>
      <c r="J700" s="539">
        <f>G700*E700</f>
        <v>0</v>
      </c>
      <c r="K700" s="537"/>
      <c r="L700" s="112"/>
      <c r="N700" s="10"/>
    </row>
    <row r="701" spans="1:14" x14ac:dyDescent="0.25">
      <c r="A701" s="222">
        <v>667</v>
      </c>
      <c r="B701" s="134" t="s">
        <v>29</v>
      </c>
      <c r="C701" s="102" t="s">
        <v>1</v>
      </c>
      <c r="D701" s="103">
        <v>1.1499999999999999</v>
      </c>
      <c r="E701" s="11">
        <f>E700*D701</f>
        <v>9.5500000000000007</v>
      </c>
      <c r="F701" s="11">
        <f t="shared" si="422"/>
        <v>0</v>
      </c>
      <c r="G701" s="11"/>
      <c r="H701" s="540"/>
      <c r="I701" s="11">
        <f t="shared" si="423"/>
        <v>0</v>
      </c>
      <c r="J701" s="11"/>
      <c r="K701" s="11">
        <f>H701*E701</f>
        <v>0</v>
      </c>
      <c r="L701" s="106" t="s">
        <v>15</v>
      </c>
      <c r="N701" s="10"/>
    </row>
    <row r="702" spans="1:14" ht="47.25" x14ac:dyDescent="0.25">
      <c r="A702" s="529">
        <v>668</v>
      </c>
      <c r="B702" s="131" t="s">
        <v>94</v>
      </c>
      <c r="C702" s="135" t="s">
        <v>1</v>
      </c>
      <c r="D702" s="133"/>
      <c r="E702" s="15">
        <f>Расч.!O39</f>
        <v>8.3000000000000007</v>
      </c>
      <c r="F702" s="537">
        <f t="shared" ref="F702:F704" si="424">G702+H702</f>
        <v>0</v>
      </c>
      <c r="G702" s="538"/>
      <c r="H702" s="537"/>
      <c r="I702" s="537">
        <f t="shared" ref="I702:I704" si="425">J702+K702</f>
        <v>0</v>
      </c>
      <c r="J702" s="539">
        <f>G702*E702</f>
        <v>0</v>
      </c>
      <c r="K702" s="537"/>
      <c r="L702" s="112"/>
      <c r="N702" s="10"/>
    </row>
    <row r="703" spans="1:14" x14ac:dyDescent="0.25">
      <c r="A703" s="222">
        <v>669</v>
      </c>
      <c r="B703" s="138" t="s">
        <v>26</v>
      </c>
      <c r="C703" s="102" t="s">
        <v>27</v>
      </c>
      <c r="D703" s="137">
        <v>1.0149999999999999</v>
      </c>
      <c r="E703" s="11">
        <f>Расч.!T42*0.1</f>
        <v>7.0000000000000007E-2</v>
      </c>
      <c r="F703" s="11">
        <f t="shared" si="424"/>
        <v>0</v>
      </c>
      <c r="G703" s="11"/>
      <c r="H703" s="540"/>
      <c r="I703" s="11">
        <f t="shared" si="425"/>
        <v>0</v>
      </c>
      <c r="J703" s="11"/>
      <c r="K703" s="11">
        <f>H703*E703</f>
        <v>0</v>
      </c>
      <c r="L703" s="106" t="s">
        <v>15</v>
      </c>
      <c r="N703" s="10"/>
    </row>
    <row r="704" spans="1:14" x14ac:dyDescent="0.25">
      <c r="A704" s="222">
        <v>670</v>
      </c>
      <c r="B704" s="138" t="s">
        <v>37</v>
      </c>
      <c r="C704" s="102" t="s">
        <v>1</v>
      </c>
      <c r="D704" s="103">
        <v>1.2</v>
      </c>
      <c r="E704" s="11">
        <f>E702*D704</f>
        <v>9.9600000000000009</v>
      </c>
      <c r="F704" s="11">
        <f t="shared" si="424"/>
        <v>0</v>
      </c>
      <c r="G704" s="11"/>
      <c r="H704" s="540"/>
      <c r="I704" s="11">
        <f t="shared" si="425"/>
        <v>0</v>
      </c>
      <c r="J704" s="11"/>
      <c r="K704" s="11">
        <f>H704*E704</f>
        <v>0</v>
      </c>
      <c r="L704" s="114" t="s">
        <v>15</v>
      </c>
      <c r="N704" s="10"/>
    </row>
    <row r="705" spans="1:14" ht="36" customHeight="1" x14ac:dyDescent="0.25">
      <c r="A705" s="529">
        <v>671</v>
      </c>
      <c r="B705" s="131" t="s">
        <v>61</v>
      </c>
      <c r="C705" s="135" t="s">
        <v>30</v>
      </c>
      <c r="D705" s="133"/>
      <c r="E705" s="15">
        <f>Расч.!O42</f>
        <v>9.5</v>
      </c>
      <c r="F705" s="537">
        <f t="shared" ref="F705:F706" si="426">G705+H705</f>
        <v>0</v>
      </c>
      <c r="G705" s="538"/>
      <c r="H705" s="537"/>
      <c r="I705" s="537">
        <f t="shared" ref="I705:I706" si="427">J705+K705</f>
        <v>0</v>
      </c>
      <c r="J705" s="539">
        <f>G705*E705</f>
        <v>0</v>
      </c>
      <c r="K705" s="537"/>
      <c r="L705" s="112"/>
      <c r="N705" s="10"/>
    </row>
    <row r="706" spans="1:14" x14ac:dyDescent="0.25">
      <c r="A706" s="222">
        <v>672</v>
      </c>
      <c r="B706" s="138" t="s">
        <v>26</v>
      </c>
      <c r="C706" s="102" t="s">
        <v>27</v>
      </c>
      <c r="D706" s="137">
        <v>5.0000000000000001E-3</v>
      </c>
      <c r="E706" s="11">
        <f>D706*E705</f>
        <v>0.05</v>
      </c>
      <c r="F706" s="11">
        <f t="shared" si="426"/>
        <v>0</v>
      </c>
      <c r="G706" s="11"/>
      <c r="H706" s="540"/>
      <c r="I706" s="11">
        <f t="shared" si="427"/>
        <v>0</v>
      </c>
      <c r="J706" s="11"/>
      <c r="K706" s="11">
        <f>H706*E706</f>
        <v>0</v>
      </c>
      <c r="L706" s="106" t="s">
        <v>15</v>
      </c>
      <c r="N706" s="10"/>
    </row>
    <row r="707" spans="1:14" ht="47.25" x14ac:dyDescent="0.25">
      <c r="A707" s="529">
        <v>673</v>
      </c>
      <c r="B707" s="131" t="s">
        <v>83</v>
      </c>
      <c r="C707" s="135" t="s">
        <v>1</v>
      </c>
      <c r="D707" s="133"/>
      <c r="E707" s="15">
        <f>Расч.!O39+Расч.!O42*0.3</f>
        <v>11.15</v>
      </c>
      <c r="F707" s="537">
        <f t="shared" ref="F707:F708" si="428">G707+H707</f>
        <v>0</v>
      </c>
      <c r="G707" s="538"/>
      <c r="H707" s="537"/>
      <c r="I707" s="537">
        <f t="shared" ref="I707:I708" si="429">J707+K707</f>
        <v>0</v>
      </c>
      <c r="J707" s="539">
        <f>G707*E707</f>
        <v>0</v>
      </c>
      <c r="K707" s="537"/>
      <c r="L707" s="112"/>
      <c r="N707" s="10"/>
    </row>
    <row r="708" spans="1:14" ht="31.5" x14ac:dyDescent="0.25">
      <c r="A708" s="222">
        <v>674</v>
      </c>
      <c r="B708" s="138" t="s">
        <v>84</v>
      </c>
      <c r="C708" s="102" t="s">
        <v>25</v>
      </c>
      <c r="D708" s="103">
        <v>0.35</v>
      </c>
      <c r="E708" s="11">
        <f>E707*D708</f>
        <v>3.9</v>
      </c>
      <c r="F708" s="11">
        <f t="shared" si="428"/>
        <v>0</v>
      </c>
      <c r="G708" s="11"/>
      <c r="H708" s="540"/>
      <c r="I708" s="11">
        <f t="shared" si="429"/>
        <v>0</v>
      </c>
      <c r="J708" s="11"/>
      <c r="K708" s="11">
        <f>H708*E708</f>
        <v>0</v>
      </c>
      <c r="L708" s="114" t="s">
        <v>15</v>
      </c>
      <c r="N708" s="10"/>
    </row>
    <row r="709" spans="1:14" ht="31.5" x14ac:dyDescent="0.25">
      <c r="A709" s="529">
        <v>675</v>
      </c>
      <c r="B709" s="131" t="s">
        <v>58</v>
      </c>
      <c r="C709" s="135" t="s">
        <v>1</v>
      </c>
      <c r="D709" s="133"/>
      <c r="E709" s="15">
        <f>Расч.!O39</f>
        <v>8.3000000000000007</v>
      </c>
      <c r="F709" s="537">
        <f t="shared" ref="F709:F712" si="430">G709+H709</f>
        <v>0</v>
      </c>
      <c r="G709" s="538"/>
      <c r="H709" s="537"/>
      <c r="I709" s="537">
        <f t="shared" ref="I709:I712" si="431">J709+K709</f>
        <v>0</v>
      </c>
      <c r="J709" s="539">
        <f>G709*E709</f>
        <v>0</v>
      </c>
      <c r="K709" s="537"/>
      <c r="L709" s="112"/>
      <c r="N709" s="10"/>
    </row>
    <row r="710" spans="1:14" x14ac:dyDescent="0.25">
      <c r="A710" s="222">
        <v>676</v>
      </c>
      <c r="B710" s="459" t="s">
        <v>68</v>
      </c>
      <c r="C710" s="440" t="s">
        <v>1</v>
      </c>
      <c r="D710" s="441">
        <v>1.1599999999999999</v>
      </c>
      <c r="E710" s="11">
        <f>E709*D710</f>
        <v>9.6300000000000008</v>
      </c>
      <c r="F710" s="11">
        <f t="shared" si="430"/>
        <v>0</v>
      </c>
      <c r="G710" s="11"/>
      <c r="H710" s="540"/>
      <c r="I710" s="11">
        <f t="shared" si="431"/>
        <v>0</v>
      </c>
      <c r="J710" s="11"/>
      <c r="K710" s="11">
        <f>H710*E710</f>
        <v>0</v>
      </c>
      <c r="L710" s="114" t="s">
        <v>15</v>
      </c>
      <c r="N710" s="10"/>
    </row>
    <row r="711" spans="1:14" x14ac:dyDescent="0.25">
      <c r="A711" s="222">
        <v>677</v>
      </c>
      <c r="B711" s="459" t="s">
        <v>219</v>
      </c>
      <c r="C711" s="440" t="s">
        <v>1</v>
      </c>
      <c r="D711" s="441">
        <v>1.1399999999999999</v>
      </c>
      <c r="E711" s="11">
        <f>E709*D711</f>
        <v>9.4600000000000009</v>
      </c>
      <c r="F711" s="11">
        <f t="shared" si="430"/>
        <v>0</v>
      </c>
      <c r="G711" s="11"/>
      <c r="H711" s="540"/>
      <c r="I711" s="11">
        <f t="shared" si="431"/>
        <v>0</v>
      </c>
      <c r="J711" s="11"/>
      <c r="K711" s="11">
        <f>H711*E711</f>
        <v>0</v>
      </c>
      <c r="L711" s="114" t="s">
        <v>15</v>
      </c>
      <c r="N711" s="10"/>
    </row>
    <row r="712" spans="1:14" x14ac:dyDescent="0.25">
      <c r="A712" s="222">
        <v>678</v>
      </c>
      <c r="B712" s="459" t="s">
        <v>28</v>
      </c>
      <c r="C712" s="464" t="s">
        <v>3</v>
      </c>
      <c r="D712" s="465">
        <v>0.6</v>
      </c>
      <c r="E712" s="11">
        <f>E709*D712</f>
        <v>4.9800000000000004</v>
      </c>
      <c r="F712" s="11">
        <f t="shared" si="430"/>
        <v>0</v>
      </c>
      <c r="G712" s="11"/>
      <c r="H712" s="540"/>
      <c r="I712" s="11">
        <f t="shared" si="431"/>
        <v>0</v>
      </c>
      <c r="J712" s="11"/>
      <c r="K712" s="11">
        <f>H712*E712</f>
        <v>0</v>
      </c>
      <c r="L712" s="106" t="s">
        <v>15</v>
      </c>
      <c r="N712" s="10"/>
    </row>
    <row r="713" spans="1:14" ht="31.5" x14ac:dyDescent="0.25">
      <c r="A713" s="529">
        <v>679</v>
      </c>
      <c r="B713" s="131" t="s">
        <v>35</v>
      </c>
      <c r="C713" s="135" t="s">
        <v>30</v>
      </c>
      <c r="D713" s="133"/>
      <c r="E713" s="15">
        <f>Расч.!O42</f>
        <v>9.5</v>
      </c>
      <c r="F713" s="537">
        <f t="shared" ref="F713:F720" si="432">G713+H713</f>
        <v>0</v>
      </c>
      <c r="G713" s="538"/>
      <c r="H713" s="537"/>
      <c r="I713" s="537">
        <f t="shared" ref="I713:I720" si="433">J713+K713</f>
        <v>0</v>
      </c>
      <c r="J713" s="539">
        <f>G713*E713</f>
        <v>0</v>
      </c>
      <c r="K713" s="537"/>
      <c r="L713" s="112"/>
      <c r="N713" s="10"/>
    </row>
    <row r="714" spans="1:14" x14ac:dyDescent="0.25">
      <c r="A714" s="222">
        <v>680</v>
      </c>
      <c r="B714" s="459" t="s">
        <v>68</v>
      </c>
      <c r="C714" s="440" t="s">
        <v>1</v>
      </c>
      <c r="D714" s="441">
        <v>1.1599999999999999</v>
      </c>
      <c r="E714" s="11">
        <f>E713*0.5*D714</f>
        <v>5.51</v>
      </c>
      <c r="F714" s="11">
        <f t="shared" si="432"/>
        <v>0</v>
      </c>
      <c r="G714" s="11"/>
      <c r="H714" s="540"/>
      <c r="I714" s="11">
        <f t="shared" si="433"/>
        <v>0</v>
      </c>
      <c r="J714" s="11"/>
      <c r="K714" s="11">
        <f>H714*E714</f>
        <v>0</v>
      </c>
      <c r="L714" s="106" t="s">
        <v>15</v>
      </c>
      <c r="N714" s="10"/>
    </row>
    <row r="715" spans="1:14" x14ac:dyDescent="0.25">
      <c r="A715" s="222">
        <v>681</v>
      </c>
      <c r="B715" s="459" t="s">
        <v>219</v>
      </c>
      <c r="C715" s="440" t="s">
        <v>1</v>
      </c>
      <c r="D715" s="441">
        <v>1.1399999999999999</v>
      </c>
      <c r="E715" s="11">
        <f>E713*0.4*D715</f>
        <v>4.33</v>
      </c>
      <c r="F715" s="11">
        <f t="shared" si="432"/>
        <v>0</v>
      </c>
      <c r="G715" s="11"/>
      <c r="H715" s="540"/>
      <c r="I715" s="11">
        <f t="shared" si="433"/>
        <v>0</v>
      </c>
      <c r="J715" s="11"/>
      <c r="K715" s="11">
        <f>H715*E715</f>
        <v>0</v>
      </c>
      <c r="L715" s="106" t="s">
        <v>15</v>
      </c>
      <c r="N715" s="10"/>
    </row>
    <row r="716" spans="1:14" x14ac:dyDescent="0.25">
      <c r="A716" s="222">
        <v>682</v>
      </c>
      <c r="B716" s="459" t="s">
        <v>28</v>
      </c>
      <c r="C716" s="464" t="s">
        <v>3</v>
      </c>
      <c r="D716" s="465">
        <v>0.6</v>
      </c>
      <c r="E716" s="11">
        <f>E713*0.25*D716</f>
        <v>1.43</v>
      </c>
      <c r="F716" s="11">
        <f t="shared" si="432"/>
        <v>0</v>
      </c>
      <c r="G716" s="11"/>
      <c r="H716" s="540"/>
      <c r="I716" s="11">
        <f t="shared" si="433"/>
        <v>0</v>
      </c>
      <c r="J716" s="11"/>
      <c r="K716" s="11">
        <f>H716*E716</f>
        <v>0</v>
      </c>
      <c r="L716" s="106" t="s">
        <v>15</v>
      </c>
      <c r="N716" s="10"/>
    </row>
    <row r="717" spans="1:14" x14ac:dyDescent="0.25">
      <c r="A717" s="222">
        <v>683</v>
      </c>
      <c r="B717" s="138" t="s">
        <v>28</v>
      </c>
      <c r="C717" s="140" t="s">
        <v>3</v>
      </c>
      <c r="D717" s="103">
        <v>0.6</v>
      </c>
      <c r="E717" s="11">
        <f>E713*D717</f>
        <v>5.7</v>
      </c>
      <c r="F717" s="11">
        <f t="shared" si="432"/>
        <v>0</v>
      </c>
      <c r="G717" s="11"/>
      <c r="H717" s="540"/>
      <c r="I717" s="11">
        <f t="shared" si="433"/>
        <v>0</v>
      </c>
      <c r="J717" s="11"/>
      <c r="K717" s="11">
        <f>H717*E717</f>
        <v>0</v>
      </c>
      <c r="L717" s="106" t="s">
        <v>15</v>
      </c>
      <c r="N717" s="10"/>
    </row>
    <row r="718" spans="1:14" ht="31.5" x14ac:dyDescent="0.25">
      <c r="A718" s="222">
        <v>684</v>
      </c>
      <c r="B718" s="138" t="s">
        <v>43</v>
      </c>
      <c r="C718" s="141" t="s">
        <v>2</v>
      </c>
      <c r="D718" s="103">
        <v>1.03</v>
      </c>
      <c r="E718" s="11">
        <f>E713*D718</f>
        <v>9.7899999999999991</v>
      </c>
      <c r="F718" s="11">
        <f t="shared" si="432"/>
        <v>0</v>
      </c>
      <c r="G718" s="11"/>
      <c r="H718" s="540"/>
      <c r="I718" s="11">
        <f t="shared" si="433"/>
        <v>0</v>
      </c>
      <c r="J718" s="11"/>
      <c r="K718" s="11">
        <f>H718*E718</f>
        <v>0</v>
      </c>
      <c r="L718" s="106" t="s">
        <v>15</v>
      </c>
      <c r="N718" s="10"/>
    </row>
    <row r="719" spans="1:14" x14ac:dyDescent="0.25">
      <c r="A719" s="222">
        <v>685</v>
      </c>
      <c r="B719" s="138" t="s">
        <v>31</v>
      </c>
      <c r="C719" s="142" t="s">
        <v>0</v>
      </c>
      <c r="D719" s="103">
        <v>5</v>
      </c>
      <c r="E719" s="11">
        <f>ROUND(E713*D719,0)</f>
        <v>48</v>
      </c>
      <c r="F719" s="11">
        <f t="shared" si="432"/>
        <v>0</v>
      </c>
      <c r="G719" s="11"/>
      <c r="H719" s="540"/>
      <c r="I719" s="11">
        <f t="shared" si="433"/>
        <v>0</v>
      </c>
      <c r="J719" s="11"/>
      <c r="K719" s="11">
        <f>H719*E719</f>
        <v>0</v>
      </c>
      <c r="L719" s="106" t="s">
        <v>15</v>
      </c>
      <c r="N719" s="10"/>
    </row>
    <row r="720" spans="1:14" ht="31.5" x14ac:dyDescent="0.25">
      <c r="A720" s="222">
        <v>686</v>
      </c>
      <c r="B720" s="138" t="s">
        <v>69</v>
      </c>
      <c r="C720" s="143" t="s">
        <v>0</v>
      </c>
      <c r="D720" s="103">
        <v>0.15</v>
      </c>
      <c r="E720" s="11">
        <f>ROUND(E713*D720,0)</f>
        <v>1</v>
      </c>
      <c r="F720" s="11">
        <f t="shared" si="432"/>
        <v>0</v>
      </c>
      <c r="G720" s="11"/>
      <c r="H720" s="540"/>
      <c r="I720" s="11">
        <f t="shared" si="433"/>
        <v>0</v>
      </c>
      <c r="J720" s="11"/>
      <c r="K720" s="11">
        <f>H720*E720</f>
        <v>0</v>
      </c>
      <c r="L720" s="106" t="s">
        <v>15</v>
      </c>
      <c r="N720" s="10"/>
    </row>
    <row r="721" spans="1:14" x14ac:dyDescent="0.25">
      <c r="A721" s="529">
        <v>687</v>
      </c>
      <c r="B721" s="466" t="s">
        <v>64</v>
      </c>
      <c r="C721" s="456" t="s">
        <v>30</v>
      </c>
      <c r="D721" s="457"/>
      <c r="E721" s="15">
        <f>Расч.!S155</f>
        <v>7.4</v>
      </c>
      <c r="F721" s="537">
        <f t="shared" ref="F721:F723" si="434">G721+H721</f>
        <v>0</v>
      </c>
      <c r="G721" s="538"/>
      <c r="H721" s="537"/>
      <c r="I721" s="537">
        <f t="shared" ref="I721:I723" si="435">J721+K721</f>
        <v>0</v>
      </c>
      <c r="J721" s="539">
        <f>G721*E721</f>
        <v>0</v>
      </c>
      <c r="K721" s="537"/>
      <c r="L721" s="458"/>
      <c r="N721" s="10"/>
    </row>
    <row r="722" spans="1:14" x14ac:dyDescent="0.25">
      <c r="A722" s="222">
        <v>688</v>
      </c>
      <c r="B722" s="459" t="s">
        <v>31</v>
      </c>
      <c r="C722" s="441" t="s">
        <v>0</v>
      </c>
      <c r="D722" s="441">
        <v>5</v>
      </c>
      <c r="E722" s="467">
        <f>ROUND(E721*D722,0)</f>
        <v>37</v>
      </c>
      <c r="F722" s="11">
        <f t="shared" si="434"/>
        <v>0</v>
      </c>
      <c r="G722" s="11"/>
      <c r="H722" s="540"/>
      <c r="I722" s="11">
        <f t="shared" si="435"/>
        <v>0</v>
      </c>
      <c r="J722" s="11"/>
      <c r="K722" s="11">
        <f>H722*E722</f>
        <v>0</v>
      </c>
      <c r="L722" s="449" t="s">
        <v>15</v>
      </c>
      <c r="N722" s="10"/>
    </row>
    <row r="723" spans="1:14" ht="36" customHeight="1" x14ac:dyDescent="0.25">
      <c r="A723" s="222">
        <v>689</v>
      </c>
      <c r="B723" s="459" t="s">
        <v>233</v>
      </c>
      <c r="C723" s="440" t="s">
        <v>2</v>
      </c>
      <c r="D723" s="441">
        <v>1.1000000000000001</v>
      </c>
      <c r="E723" s="11">
        <f>E721*D723</f>
        <v>8.14</v>
      </c>
      <c r="F723" s="11">
        <f t="shared" si="434"/>
        <v>0</v>
      </c>
      <c r="G723" s="11"/>
      <c r="H723" s="540"/>
      <c r="I723" s="11">
        <f t="shared" si="435"/>
        <v>0</v>
      </c>
      <c r="J723" s="11"/>
      <c r="K723" s="11">
        <f>H723*E723</f>
        <v>0</v>
      </c>
      <c r="L723" s="468" t="s">
        <v>95</v>
      </c>
      <c r="N723" s="10"/>
    </row>
    <row r="724" spans="1:14" x14ac:dyDescent="0.25">
      <c r="A724" s="254"/>
      <c r="B724" s="150" t="s">
        <v>246</v>
      </c>
      <c r="C724" s="151"/>
      <c r="D724" s="152"/>
      <c r="E724" s="152"/>
      <c r="F724" s="152"/>
      <c r="G724" s="152"/>
      <c r="H724" s="152"/>
      <c r="I724" s="152"/>
      <c r="J724" s="152"/>
      <c r="K724" s="152"/>
      <c r="L724" s="153"/>
      <c r="N724" s="10"/>
    </row>
    <row r="725" spans="1:14" ht="31.5" x14ac:dyDescent="0.25">
      <c r="A725" s="529">
        <v>690</v>
      </c>
      <c r="B725" s="40" t="s">
        <v>217</v>
      </c>
      <c r="C725" s="135" t="s">
        <v>1</v>
      </c>
      <c r="D725" s="133"/>
      <c r="E725" s="136">
        <f>Расч.!Y39+Расч.!Y42*0.1</f>
        <v>19.39</v>
      </c>
      <c r="F725" s="537">
        <f t="shared" ref="F725:F726" si="436">G725+H725</f>
        <v>0</v>
      </c>
      <c r="G725" s="538"/>
      <c r="H725" s="537"/>
      <c r="I725" s="537">
        <f t="shared" ref="I725:I726" si="437">J725+K725</f>
        <v>0</v>
      </c>
      <c r="J725" s="539">
        <f>G725*E725</f>
        <v>0</v>
      </c>
      <c r="K725" s="537"/>
      <c r="L725" s="112"/>
      <c r="N725" s="10"/>
    </row>
    <row r="726" spans="1:14" x14ac:dyDescent="0.25">
      <c r="A726" s="222">
        <v>691</v>
      </c>
      <c r="B726" s="463" t="s">
        <v>240</v>
      </c>
      <c r="C726" s="102" t="s">
        <v>1</v>
      </c>
      <c r="D726" s="103">
        <v>1.1499999999999999</v>
      </c>
      <c r="E726" s="11">
        <f>E725*D726</f>
        <v>22.3</v>
      </c>
      <c r="F726" s="11">
        <f t="shared" si="436"/>
        <v>0</v>
      </c>
      <c r="G726" s="11"/>
      <c r="H726" s="540"/>
      <c r="I726" s="11">
        <f t="shared" si="437"/>
        <v>0</v>
      </c>
      <c r="J726" s="11"/>
      <c r="K726" s="11">
        <f>H726*E726</f>
        <v>0</v>
      </c>
      <c r="L726" s="106" t="s">
        <v>15</v>
      </c>
      <c r="N726" s="10"/>
    </row>
    <row r="727" spans="1:14" x14ac:dyDescent="0.25">
      <c r="A727" s="529">
        <v>692</v>
      </c>
      <c r="B727" s="131" t="s">
        <v>57</v>
      </c>
      <c r="C727" s="135" t="s">
        <v>1</v>
      </c>
      <c r="D727" s="133"/>
      <c r="E727" s="15">
        <f>Расч.!Y39</f>
        <v>17.52</v>
      </c>
      <c r="F727" s="537">
        <f t="shared" ref="F727:F728" si="438">G727+H727</f>
        <v>0</v>
      </c>
      <c r="G727" s="538"/>
      <c r="H727" s="537"/>
      <c r="I727" s="537">
        <f t="shared" ref="I727:I728" si="439">J727+K727</f>
        <v>0</v>
      </c>
      <c r="J727" s="539">
        <f>G727*E727</f>
        <v>0</v>
      </c>
      <c r="K727" s="537"/>
      <c r="L727" s="112"/>
      <c r="N727" s="10"/>
    </row>
    <row r="728" spans="1:14" ht="31.5" x14ac:dyDescent="0.25">
      <c r="A728" s="222">
        <v>693</v>
      </c>
      <c r="B728" s="134" t="s">
        <v>234</v>
      </c>
      <c r="C728" s="102" t="s">
        <v>27</v>
      </c>
      <c r="D728" s="103">
        <v>1.1000000000000001</v>
      </c>
      <c r="E728" s="11">
        <f>E727*D728*0.1</f>
        <v>1.93</v>
      </c>
      <c r="F728" s="11">
        <f t="shared" si="438"/>
        <v>0</v>
      </c>
      <c r="G728" s="11"/>
      <c r="H728" s="540"/>
      <c r="I728" s="11">
        <f t="shared" si="439"/>
        <v>0</v>
      </c>
      <c r="J728" s="11"/>
      <c r="K728" s="11">
        <f>H728*E728</f>
        <v>0</v>
      </c>
      <c r="L728" s="106" t="s">
        <v>15</v>
      </c>
      <c r="N728" s="10"/>
    </row>
    <row r="729" spans="1:14" x14ac:dyDescent="0.25">
      <c r="A729" s="529">
        <v>694</v>
      </c>
      <c r="B729" s="131" t="s">
        <v>60</v>
      </c>
      <c r="C729" s="135" t="s">
        <v>1</v>
      </c>
      <c r="D729" s="133"/>
      <c r="E729" s="15">
        <f>Расч.!Y39</f>
        <v>17.52</v>
      </c>
      <c r="F729" s="537">
        <f t="shared" ref="F729:F730" si="440">G729+H729</f>
        <v>0</v>
      </c>
      <c r="G729" s="538"/>
      <c r="H729" s="537"/>
      <c r="I729" s="537">
        <f t="shared" ref="I729:I730" si="441">J729+K729</f>
        <v>0</v>
      </c>
      <c r="J729" s="539">
        <f>G729*E729</f>
        <v>0</v>
      </c>
      <c r="K729" s="537"/>
      <c r="L729" s="112"/>
      <c r="N729" s="10"/>
    </row>
    <row r="730" spans="1:14" x14ac:dyDescent="0.25">
      <c r="A730" s="222">
        <v>695</v>
      </c>
      <c r="B730" s="134" t="s">
        <v>29</v>
      </c>
      <c r="C730" s="102" t="s">
        <v>1</v>
      </c>
      <c r="D730" s="103">
        <v>1.1499999999999999</v>
      </c>
      <c r="E730" s="11">
        <f>E729*D730</f>
        <v>20.149999999999999</v>
      </c>
      <c r="F730" s="11">
        <f t="shared" si="440"/>
        <v>0</v>
      </c>
      <c r="G730" s="11"/>
      <c r="H730" s="540"/>
      <c r="I730" s="11">
        <f t="shared" si="441"/>
        <v>0</v>
      </c>
      <c r="J730" s="11"/>
      <c r="K730" s="11">
        <f>H730*E730</f>
        <v>0</v>
      </c>
      <c r="L730" s="106" t="s">
        <v>15</v>
      </c>
      <c r="N730" s="10"/>
    </row>
    <row r="731" spans="1:14" ht="47.25" x14ac:dyDescent="0.25">
      <c r="A731" s="529">
        <v>696</v>
      </c>
      <c r="B731" s="131" t="s">
        <v>120</v>
      </c>
      <c r="C731" s="135" t="s">
        <v>1</v>
      </c>
      <c r="D731" s="133"/>
      <c r="E731" s="15">
        <f>Расч.!Y39</f>
        <v>17.52</v>
      </c>
      <c r="F731" s="537">
        <f t="shared" ref="F731:F733" si="442">G731+H731</f>
        <v>0</v>
      </c>
      <c r="G731" s="538"/>
      <c r="H731" s="537"/>
      <c r="I731" s="537">
        <f t="shared" ref="I731:I733" si="443">J731+K731</f>
        <v>0</v>
      </c>
      <c r="J731" s="539">
        <f>G731*E731</f>
        <v>0</v>
      </c>
      <c r="K731" s="537"/>
      <c r="L731" s="112"/>
      <c r="N731" s="10"/>
    </row>
    <row r="732" spans="1:14" x14ac:dyDescent="0.25">
      <c r="A732" s="222">
        <v>697</v>
      </c>
      <c r="B732" s="138" t="s">
        <v>26</v>
      </c>
      <c r="C732" s="102" t="s">
        <v>27</v>
      </c>
      <c r="D732" s="137">
        <v>1.0149999999999999</v>
      </c>
      <c r="E732" s="11">
        <f>Расч.!AD42*D732</f>
        <v>1.36</v>
      </c>
      <c r="F732" s="11">
        <f t="shared" si="442"/>
        <v>0</v>
      </c>
      <c r="G732" s="11"/>
      <c r="H732" s="540"/>
      <c r="I732" s="11">
        <f t="shared" si="443"/>
        <v>0</v>
      </c>
      <c r="J732" s="11"/>
      <c r="K732" s="11">
        <f>H732*E732</f>
        <v>0</v>
      </c>
      <c r="L732" s="106" t="s">
        <v>15</v>
      </c>
      <c r="N732" s="10"/>
    </row>
    <row r="733" spans="1:14" x14ac:dyDescent="0.25">
      <c r="A733" s="222">
        <v>698</v>
      </c>
      <c r="B733" s="138" t="s">
        <v>37</v>
      </c>
      <c r="C733" s="102" t="s">
        <v>1</v>
      </c>
      <c r="D733" s="103">
        <v>1.2</v>
      </c>
      <c r="E733" s="11">
        <f>E731*D733</f>
        <v>21.02</v>
      </c>
      <c r="F733" s="11">
        <f t="shared" si="442"/>
        <v>0</v>
      </c>
      <c r="G733" s="11"/>
      <c r="H733" s="540"/>
      <c r="I733" s="11">
        <f t="shared" si="443"/>
        <v>0</v>
      </c>
      <c r="J733" s="11"/>
      <c r="K733" s="11">
        <f>H733*E733</f>
        <v>0</v>
      </c>
      <c r="L733" s="114" t="s">
        <v>15</v>
      </c>
      <c r="N733" s="10"/>
    </row>
    <row r="734" spans="1:14" ht="32.25" customHeight="1" x14ac:dyDescent="0.25">
      <c r="A734" s="529">
        <v>699</v>
      </c>
      <c r="B734" s="131" t="s">
        <v>61</v>
      </c>
      <c r="C734" s="135" t="s">
        <v>30</v>
      </c>
      <c r="D734" s="133"/>
      <c r="E734" s="15">
        <f>Расч.!Y42</f>
        <v>18.7</v>
      </c>
      <c r="F734" s="537">
        <f t="shared" ref="F734:F735" si="444">G734+H734</f>
        <v>0</v>
      </c>
      <c r="G734" s="538"/>
      <c r="H734" s="537"/>
      <c r="I734" s="537">
        <f t="shared" ref="I734:I735" si="445">J734+K734</f>
        <v>0</v>
      </c>
      <c r="J734" s="539">
        <f>G734*E734</f>
        <v>0</v>
      </c>
      <c r="K734" s="537"/>
      <c r="L734" s="112"/>
      <c r="N734" s="10"/>
    </row>
    <row r="735" spans="1:14" x14ac:dyDescent="0.25">
      <c r="A735" s="222">
        <v>700</v>
      </c>
      <c r="B735" s="138" t="s">
        <v>26</v>
      </c>
      <c r="C735" s="102" t="s">
        <v>27</v>
      </c>
      <c r="D735" s="137">
        <v>5.0000000000000001E-3</v>
      </c>
      <c r="E735" s="11">
        <f>D735*E734</f>
        <v>0.09</v>
      </c>
      <c r="F735" s="11">
        <f t="shared" si="444"/>
        <v>0</v>
      </c>
      <c r="G735" s="11"/>
      <c r="H735" s="540"/>
      <c r="I735" s="11">
        <f t="shared" si="445"/>
        <v>0</v>
      </c>
      <c r="J735" s="11"/>
      <c r="K735" s="11">
        <f>H735*E735</f>
        <v>0</v>
      </c>
      <c r="L735" s="106" t="s">
        <v>15</v>
      </c>
      <c r="N735" s="10"/>
    </row>
    <row r="736" spans="1:14" ht="47.25" x14ac:dyDescent="0.25">
      <c r="A736" s="529">
        <v>701</v>
      </c>
      <c r="B736" s="131" t="s">
        <v>83</v>
      </c>
      <c r="C736" s="135" t="s">
        <v>1</v>
      </c>
      <c r="D736" s="133"/>
      <c r="E736" s="15">
        <f>Расч.!Y39+Расч.!Y42*0.3</f>
        <v>23.13</v>
      </c>
      <c r="F736" s="537">
        <f t="shared" ref="F736:F737" si="446">G736+H736</f>
        <v>0</v>
      </c>
      <c r="G736" s="538"/>
      <c r="H736" s="537"/>
      <c r="I736" s="537">
        <f t="shared" ref="I736:I737" si="447">J736+K736</f>
        <v>0</v>
      </c>
      <c r="J736" s="539">
        <f>G736*E736</f>
        <v>0</v>
      </c>
      <c r="K736" s="537"/>
      <c r="L736" s="112"/>
      <c r="N736" s="10"/>
    </row>
    <row r="737" spans="1:14" ht="31.5" x14ac:dyDescent="0.25">
      <c r="A737" s="222">
        <v>702</v>
      </c>
      <c r="B737" s="138" t="s">
        <v>84</v>
      </c>
      <c r="C737" s="102" t="s">
        <v>25</v>
      </c>
      <c r="D737" s="103">
        <v>0.35</v>
      </c>
      <c r="E737" s="11">
        <f>E736*D737</f>
        <v>8.1</v>
      </c>
      <c r="F737" s="11">
        <f t="shared" si="446"/>
        <v>0</v>
      </c>
      <c r="G737" s="11"/>
      <c r="H737" s="540"/>
      <c r="I737" s="11">
        <f t="shared" si="447"/>
        <v>0</v>
      </c>
      <c r="J737" s="11"/>
      <c r="K737" s="11">
        <f>H737*E737</f>
        <v>0</v>
      </c>
      <c r="L737" s="114" t="s">
        <v>15</v>
      </c>
      <c r="N737" s="10"/>
    </row>
    <row r="738" spans="1:14" ht="31.5" x14ac:dyDescent="0.25">
      <c r="A738" s="529">
        <v>703</v>
      </c>
      <c r="B738" s="131" t="s">
        <v>58</v>
      </c>
      <c r="C738" s="135" t="s">
        <v>1</v>
      </c>
      <c r="D738" s="133"/>
      <c r="E738" s="15">
        <f>Расч.!Y39</f>
        <v>17.52</v>
      </c>
      <c r="F738" s="537">
        <f t="shared" ref="F738:F741" si="448">G738+H738</f>
        <v>0</v>
      </c>
      <c r="G738" s="538"/>
      <c r="H738" s="537"/>
      <c r="I738" s="537">
        <f t="shared" ref="I738:I741" si="449">J738+K738</f>
        <v>0</v>
      </c>
      <c r="J738" s="539">
        <f>G738*E738</f>
        <v>0</v>
      </c>
      <c r="K738" s="537"/>
      <c r="L738" s="112"/>
      <c r="N738" s="10"/>
    </row>
    <row r="739" spans="1:14" x14ac:dyDescent="0.25">
      <c r="A739" s="222">
        <v>704</v>
      </c>
      <c r="B739" s="459" t="s">
        <v>68</v>
      </c>
      <c r="C739" s="440" t="s">
        <v>1</v>
      </c>
      <c r="D739" s="441">
        <v>1.1599999999999999</v>
      </c>
      <c r="E739" s="11">
        <f>E738*D739</f>
        <v>20.32</v>
      </c>
      <c r="F739" s="11">
        <f t="shared" si="448"/>
        <v>0</v>
      </c>
      <c r="G739" s="11"/>
      <c r="H739" s="540"/>
      <c r="I739" s="11">
        <f t="shared" si="449"/>
        <v>0</v>
      </c>
      <c r="J739" s="11"/>
      <c r="K739" s="11">
        <f>H739*E739</f>
        <v>0</v>
      </c>
      <c r="L739" s="114" t="s">
        <v>15</v>
      </c>
      <c r="N739" s="10"/>
    </row>
    <row r="740" spans="1:14" x14ac:dyDescent="0.25">
      <c r="A740" s="222">
        <v>705</v>
      </c>
      <c r="B740" s="459" t="s">
        <v>219</v>
      </c>
      <c r="C740" s="440" t="s">
        <v>1</v>
      </c>
      <c r="D740" s="441">
        <v>1.1399999999999999</v>
      </c>
      <c r="E740" s="11">
        <f>E738*D740</f>
        <v>19.97</v>
      </c>
      <c r="F740" s="11">
        <f t="shared" si="448"/>
        <v>0</v>
      </c>
      <c r="G740" s="11"/>
      <c r="H740" s="540"/>
      <c r="I740" s="11">
        <f t="shared" si="449"/>
        <v>0</v>
      </c>
      <c r="J740" s="11"/>
      <c r="K740" s="11">
        <f>H740*E740</f>
        <v>0</v>
      </c>
      <c r="L740" s="114" t="s">
        <v>15</v>
      </c>
      <c r="N740" s="10"/>
    </row>
    <row r="741" spans="1:14" x14ac:dyDescent="0.25">
      <c r="A741" s="222">
        <v>706</v>
      </c>
      <c r="B741" s="459" t="s">
        <v>28</v>
      </c>
      <c r="C741" s="464" t="s">
        <v>3</v>
      </c>
      <c r="D741" s="465">
        <v>0.6</v>
      </c>
      <c r="E741" s="11">
        <f>E738*D741</f>
        <v>10.51</v>
      </c>
      <c r="F741" s="11">
        <f t="shared" si="448"/>
        <v>0</v>
      </c>
      <c r="G741" s="11"/>
      <c r="H741" s="540"/>
      <c r="I741" s="11">
        <f t="shared" si="449"/>
        <v>0</v>
      </c>
      <c r="J741" s="11"/>
      <c r="K741" s="11">
        <f>H741*E741</f>
        <v>0</v>
      </c>
      <c r="L741" s="106" t="s">
        <v>15</v>
      </c>
      <c r="N741" s="10"/>
    </row>
    <row r="742" spans="1:14" ht="31.5" x14ac:dyDescent="0.25">
      <c r="A742" s="529">
        <v>707</v>
      </c>
      <c r="B742" s="131" t="s">
        <v>35</v>
      </c>
      <c r="C742" s="135" t="s">
        <v>30</v>
      </c>
      <c r="D742" s="133"/>
      <c r="E742" s="15">
        <f>Расч.!Y42</f>
        <v>18.7</v>
      </c>
      <c r="F742" s="537">
        <f t="shared" ref="F742:F749" si="450">G742+H742</f>
        <v>0</v>
      </c>
      <c r="G742" s="538"/>
      <c r="H742" s="537"/>
      <c r="I742" s="537">
        <f t="shared" ref="I742:I749" si="451">J742+K742</f>
        <v>0</v>
      </c>
      <c r="J742" s="539">
        <f>G742*E742</f>
        <v>0</v>
      </c>
      <c r="K742" s="537"/>
      <c r="L742" s="112"/>
      <c r="N742" s="10"/>
    </row>
    <row r="743" spans="1:14" x14ac:dyDescent="0.25">
      <c r="A743" s="222">
        <v>708</v>
      </c>
      <c r="B743" s="459" t="s">
        <v>68</v>
      </c>
      <c r="C743" s="440" t="s">
        <v>1</v>
      </c>
      <c r="D743" s="441">
        <v>1.1599999999999999</v>
      </c>
      <c r="E743" s="11">
        <f>E742*0.5*D743</f>
        <v>10.85</v>
      </c>
      <c r="F743" s="11">
        <f t="shared" si="450"/>
        <v>0</v>
      </c>
      <c r="G743" s="11"/>
      <c r="H743" s="540"/>
      <c r="I743" s="11">
        <f t="shared" si="451"/>
        <v>0</v>
      </c>
      <c r="J743" s="11"/>
      <c r="K743" s="11">
        <f>H743*E743</f>
        <v>0</v>
      </c>
      <c r="L743" s="106" t="s">
        <v>15</v>
      </c>
      <c r="N743" s="10"/>
    </row>
    <row r="744" spans="1:14" x14ac:dyDescent="0.25">
      <c r="A744" s="222">
        <v>709</v>
      </c>
      <c r="B744" s="459" t="s">
        <v>219</v>
      </c>
      <c r="C744" s="440" t="s">
        <v>1</v>
      </c>
      <c r="D744" s="441">
        <v>1.1399999999999999</v>
      </c>
      <c r="E744" s="11">
        <f>E742*0.4*D744</f>
        <v>8.5299999999999994</v>
      </c>
      <c r="F744" s="11">
        <f t="shared" si="450"/>
        <v>0</v>
      </c>
      <c r="G744" s="11"/>
      <c r="H744" s="540"/>
      <c r="I744" s="11">
        <f t="shared" si="451"/>
        <v>0</v>
      </c>
      <c r="J744" s="11"/>
      <c r="K744" s="11">
        <f>H744*E744</f>
        <v>0</v>
      </c>
      <c r="L744" s="106" t="s">
        <v>15</v>
      </c>
      <c r="N744" s="10"/>
    </row>
    <row r="745" spans="1:14" x14ac:dyDescent="0.25">
      <c r="A745" s="222">
        <v>710</v>
      </c>
      <c r="B745" s="459" t="s">
        <v>86</v>
      </c>
      <c r="C745" s="440" t="s">
        <v>27</v>
      </c>
      <c r="D745" s="441">
        <v>1.1399999999999999</v>
      </c>
      <c r="E745" s="11">
        <f>E742*0.2*D745</f>
        <v>4.26</v>
      </c>
      <c r="F745" s="11">
        <f t="shared" si="450"/>
        <v>0</v>
      </c>
      <c r="G745" s="11"/>
      <c r="H745" s="540"/>
      <c r="I745" s="11">
        <f t="shared" si="451"/>
        <v>0</v>
      </c>
      <c r="J745" s="11"/>
      <c r="K745" s="11">
        <f>H745*E745</f>
        <v>0</v>
      </c>
      <c r="L745" s="106" t="s">
        <v>15</v>
      </c>
      <c r="N745" s="10"/>
    </row>
    <row r="746" spans="1:14" x14ac:dyDescent="0.25">
      <c r="A746" s="222">
        <v>711</v>
      </c>
      <c r="B746" s="138" t="s">
        <v>28</v>
      </c>
      <c r="C746" s="140" t="s">
        <v>3</v>
      </c>
      <c r="D746" s="103">
        <v>0.6</v>
      </c>
      <c r="E746" s="11">
        <f>E742*D746</f>
        <v>11.22</v>
      </c>
      <c r="F746" s="11">
        <f t="shared" si="450"/>
        <v>0</v>
      </c>
      <c r="G746" s="11"/>
      <c r="H746" s="540"/>
      <c r="I746" s="11">
        <f t="shared" si="451"/>
        <v>0</v>
      </c>
      <c r="J746" s="11"/>
      <c r="K746" s="11">
        <f>H746*E746</f>
        <v>0</v>
      </c>
      <c r="L746" s="106" t="s">
        <v>15</v>
      </c>
      <c r="N746" s="10"/>
    </row>
    <row r="747" spans="1:14" ht="31.5" x14ac:dyDescent="0.25">
      <c r="A747" s="222">
        <v>712</v>
      </c>
      <c r="B747" s="138" t="s">
        <v>43</v>
      </c>
      <c r="C747" s="141" t="s">
        <v>2</v>
      </c>
      <c r="D747" s="103">
        <v>1.03</v>
      </c>
      <c r="E747" s="11">
        <f>E742*D747</f>
        <v>19.260000000000002</v>
      </c>
      <c r="F747" s="11">
        <f t="shared" si="450"/>
        <v>0</v>
      </c>
      <c r="G747" s="11"/>
      <c r="H747" s="540"/>
      <c r="I747" s="11">
        <f t="shared" si="451"/>
        <v>0</v>
      </c>
      <c r="J747" s="11"/>
      <c r="K747" s="11">
        <f>H747*E747</f>
        <v>0</v>
      </c>
      <c r="L747" s="106" t="s">
        <v>15</v>
      </c>
      <c r="N747" s="10"/>
    </row>
    <row r="748" spans="1:14" x14ac:dyDescent="0.25">
      <c r="A748" s="222">
        <v>713</v>
      </c>
      <c r="B748" s="138" t="s">
        <v>31</v>
      </c>
      <c r="C748" s="142" t="s">
        <v>0</v>
      </c>
      <c r="D748" s="103">
        <v>5</v>
      </c>
      <c r="E748" s="11">
        <f>ROUND(E742*D748,0)</f>
        <v>94</v>
      </c>
      <c r="F748" s="11">
        <f t="shared" si="450"/>
        <v>0</v>
      </c>
      <c r="G748" s="11"/>
      <c r="H748" s="540"/>
      <c r="I748" s="11">
        <f t="shared" si="451"/>
        <v>0</v>
      </c>
      <c r="J748" s="11"/>
      <c r="K748" s="11">
        <f>H748*E748</f>
        <v>0</v>
      </c>
      <c r="L748" s="106" t="s">
        <v>15</v>
      </c>
      <c r="N748" s="10"/>
    </row>
    <row r="749" spans="1:14" ht="31.5" x14ac:dyDescent="0.25">
      <c r="A749" s="222">
        <v>714</v>
      </c>
      <c r="B749" s="138" t="s">
        <v>69</v>
      </c>
      <c r="C749" s="143" t="s">
        <v>0</v>
      </c>
      <c r="D749" s="103">
        <v>0.15</v>
      </c>
      <c r="E749" s="11">
        <f>ROUND(E742*D749,)</f>
        <v>3</v>
      </c>
      <c r="F749" s="11">
        <f t="shared" si="450"/>
        <v>0</v>
      </c>
      <c r="G749" s="11"/>
      <c r="H749" s="540"/>
      <c r="I749" s="11">
        <f t="shared" si="451"/>
        <v>0</v>
      </c>
      <c r="J749" s="11"/>
      <c r="K749" s="11">
        <f>H749*E749</f>
        <v>0</v>
      </c>
      <c r="L749" s="106" t="s">
        <v>15</v>
      </c>
      <c r="N749" s="10"/>
    </row>
    <row r="750" spans="1:14" x14ac:dyDescent="0.25">
      <c r="A750" s="529">
        <v>715</v>
      </c>
      <c r="B750" s="131" t="s">
        <v>59</v>
      </c>
      <c r="C750" s="135" t="s">
        <v>30</v>
      </c>
      <c r="D750" s="133"/>
      <c r="E750" s="15">
        <f>17+7.3</f>
        <v>24.3</v>
      </c>
      <c r="F750" s="537">
        <f t="shared" ref="F750:F755" si="452">G750+H750</f>
        <v>0</v>
      </c>
      <c r="G750" s="538"/>
      <c r="H750" s="537"/>
      <c r="I750" s="537">
        <f t="shared" ref="I750:I755" si="453">J750+K750</f>
        <v>0</v>
      </c>
      <c r="J750" s="539">
        <f>G750*E750</f>
        <v>0</v>
      </c>
      <c r="K750" s="537"/>
      <c r="L750" s="112"/>
      <c r="N750" s="10"/>
    </row>
    <row r="751" spans="1:14" x14ac:dyDescent="0.25">
      <c r="A751" s="222">
        <v>716</v>
      </c>
      <c r="B751" s="138" t="s">
        <v>31</v>
      </c>
      <c r="C751" s="103" t="s">
        <v>0</v>
      </c>
      <c r="D751" s="103">
        <v>5</v>
      </c>
      <c r="E751" s="154">
        <f>ROUND(E750*D751,0)</f>
        <v>122</v>
      </c>
      <c r="F751" s="11">
        <f t="shared" si="452"/>
        <v>0</v>
      </c>
      <c r="G751" s="11"/>
      <c r="H751" s="540"/>
      <c r="I751" s="11">
        <f t="shared" si="453"/>
        <v>0</v>
      </c>
      <c r="J751" s="11"/>
      <c r="K751" s="11">
        <f>H751*E751</f>
        <v>0</v>
      </c>
      <c r="L751" s="114" t="s">
        <v>119</v>
      </c>
      <c r="N751" s="10"/>
    </row>
    <row r="752" spans="1:14" ht="47.25" x14ac:dyDescent="0.25">
      <c r="A752" s="222">
        <v>717</v>
      </c>
      <c r="B752" s="459" t="s">
        <v>249</v>
      </c>
      <c r="C752" s="102" t="s">
        <v>30</v>
      </c>
      <c r="D752" s="103">
        <v>1.1000000000000001</v>
      </c>
      <c r="E752" s="11">
        <f>17*D752</f>
        <v>18.7</v>
      </c>
      <c r="F752" s="11">
        <f t="shared" si="452"/>
        <v>0</v>
      </c>
      <c r="G752" s="11"/>
      <c r="H752" s="540"/>
      <c r="I752" s="11">
        <f t="shared" si="453"/>
        <v>0</v>
      </c>
      <c r="J752" s="11"/>
      <c r="K752" s="11">
        <f>H752*E752</f>
        <v>0</v>
      </c>
      <c r="L752" s="114" t="s">
        <v>119</v>
      </c>
      <c r="N752" s="10"/>
    </row>
    <row r="753" spans="1:14" ht="47.25" x14ac:dyDescent="0.25">
      <c r="A753" s="222">
        <v>718</v>
      </c>
      <c r="B753" s="459" t="s">
        <v>232</v>
      </c>
      <c r="C753" s="53" t="s">
        <v>30</v>
      </c>
      <c r="D753" s="54">
        <v>1.1000000000000001</v>
      </c>
      <c r="E753" s="11">
        <f>7.3*D753</f>
        <v>8.0299999999999994</v>
      </c>
      <c r="F753" s="11">
        <f t="shared" si="452"/>
        <v>0</v>
      </c>
      <c r="G753" s="11"/>
      <c r="H753" s="540"/>
      <c r="I753" s="11">
        <f t="shared" si="453"/>
        <v>0</v>
      </c>
      <c r="J753" s="11"/>
      <c r="K753" s="11">
        <f>H753*E753</f>
        <v>0</v>
      </c>
      <c r="L753" s="114" t="s">
        <v>119</v>
      </c>
      <c r="N753" s="10"/>
    </row>
    <row r="754" spans="1:14" x14ac:dyDescent="0.25">
      <c r="A754" s="222">
        <v>719</v>
      </c>
      <c r="B754" s="138" t="s">
        <v>34</v>
      </c>
      <c r="C754" s="102" t="s">
        <v>0</v>
      </c>
      <c r="D754" s="103">
        <v>1.66</v>
      </c>
      <c r="E754" s="11">
        <f>ROUND(D754*E750,0)</f>
        <v>40</v>
      </c>
      <c r="F754" s="11">
        <f t="shared" si="452"/>
        <v>0</v>
      </c>
      <c r="G754" s="11"/>
      <c r="H754" s="540"/>
      <c r="I754" s="11">
        <f t="shared" si="453"/>
        <v>0</v>
      </c>
      <c r="J754" s="11"/>
      <c r="K754" s="11">
        <f>H754*E754</f>
        <v>0</v>
      </c>
      <c r="L754" s="106" t="s">
        <v>15</v>
      </c>
      <c r="N754" s="10"/>
    </row>
    <row r="755" spans="1:14" x14ac:dyDescent="0.25">
      <c r="A755" s="222">
        <v>720</v>
      </c>
      <c r="B755" s="138" t="s">
        <v>26</v>
      </c>
      <c r="C755" s="102" t="s">
        <v>27</v>
      </c>
      <c r="D755" s="137">
        <v>1.0149999999999999</v>
      </c>
      <c r="E755" s="11">
        <f>7.3*0.12*0.03*D755</f>
        <v>0.03</v>
      </c>
      <c r="F755" s="11">
        <f t="shared" si="452"/>
        <v>0</v>
      </c>
      <c r="G755" s="11"/>
      <c r="H755" s="540"/>
      <c r="I755" s="11">
        <f t="shared" si="453"/>
        <v>0</v>
      </c>
      <c r="J755" s="11"/>
      <c r="K755" s="11">
        <f>H755*E755</f>
        <v>0</v>
      </c>
      <c r="L755" s="106" t="s">
        <v>15</v>
      </c>
      <c r="N755" s="10"/>
    </row>
    <row r="756" spans="1:14" x14ac:dyDescent="0.25">
      <c r="A756" s="253"/>
      <c r="B756" s="3" t="s">
        <v>178</v>
      </c>
      <c r="C756" s="4" t="s">
        <v>72</v>
      </c>
      <c r="D756" s="27"/>
      <c r="E756" s="27"/>
      <c r="F756" s="27"/>
      <c r="G756" s="27"/>
      <c r="H756" s="27"/>
      <c r="I756" s="27"/>
      <c r="J756" s="27"/>
      <c r="K756" s="27"/>
      <c r="L756" s="28"/>
      <c r="N756" s="10"/>
    </row>
    <row r="757" spans="1:14" x14ac:dyDescent="0.25">
      <c r="A757" s="254"/>
      <c r="B757" s="123" t="s">
        <v>56</v>
      </c>
      <c r="C757" s="18"/>
      <c r="D757" s="19"/>
      <c r="E757" s="19"/>
      <c r="F757" s="19"/>
      <c r="G757" s="19"/>
      <c r="H757" s="19"/>
      <c r="I757" s="19"/>
      <c r="J757" s="19"/>
      <c r="K757" s="19"/>
      <c r="L757" s="20"/>
      <c r="N757" s="10"/>
    </row>
    <row r="758" spans="1:14" ht="31.5" x14ac:dyDescent="0.25">
      <c r="A758" s="529">
        <v>721</v>
      </c>
      <c r="B758" s="40" t="s">
        <v>217</v>
      </c>
      <c r="C758" s="124" t="s">
        <v>1</v>
      </c>
      <c r="D758" s="41"/>
      <c r="E758" s="42">
        <f>Расч.!E46+Расч.!E49*0.1</f>
        <v>388.01</v>
      </c>
      <c r="F758" s="537">
        <f t="shared" ref="F758:F759" si="454">G758+H758</f>
        <v>0</v>
      </c>
      <c r="G758" s="538"/>
      <c r="H758" s="537"/>
      <c r="I758" s="537">
        <f t="shared" ref="I758:I759" si="455">J758+K758</f>
        <v>0</v>
      </c>
      <c r="J758" s="539">
        <f>G758*E758</f>
        <v>0</v>
      </c>
      <c r="K758" s="537"/>
      <c r="L758" s="43"/>
      <c r="N758" s="10"/>
    </row>
    <row r="759" spans="1:14" x14ac:dyDescent="0.25">
      <c r="A759" s="222">
        <v>722</v>
      </c>
      <c r="B759" s="463" t="s">
        <v>218</v>
      </c>
      <c r="C759" s="44" t="s">
        <v>1</v>
      </c>
      <c r="D759" s="45">
        <v>1.1499999999999999</v>
      </c>
      <c r="E759" s="11">
        <f>E758*D759</f>
        <v>446.21</v>
      </c>
      <c r="F759" s="11">
        <f t="shared" si="454"/>
        <v>0</v>
      </c>
      <c r="G759" s="11"/>
      <c r="H759" s="540"/>
      <c r="I759" s="11">
        <f t="shared" si="455"/>
        <v>0</v>
      </c>
      <c r="J759" s="11"/>
      <c r="K759" s="11">
        <f>H759*E759</f>
        <v>0</v>
      </c>
      <c r="L759" s="46" t="s">
        <v>15</v>
      </c>
      <c r="N759" s="10"/>
    </row>
    <row r="760" spans="1:14" x14ac:dyDescent="0.25">
      <c r="A760" s="529">
        <v>723</v>
      </c>
      <c r="B760" s="49" t="s">
        <v>57</v>
      </c>
      <c r="C760" s="125" t="s">
        <v>1</v>
      </c>
      <c r="D760" s="50"/>
      <c r="E760" s="15">
        <f>Расч.!E46</f>
        <v>373.2</v>
      </c>
      <c r="F760" s="537">
        <f t="shared" ref="F760:F761" si="456">G760+H760</f>
        <v>0</v>
      </c>
      <c r="G760" s="538"/>
      <c r="H760" s="537"/>
      <c r="I760" s="537">
        <f t="shared" ref="I760:I761" si="457">J760+K760</f>
        <v>0</v>
      </c>
      <c r="J760" s="539">
        <f>G760*E760</f>
        <v>0</v>
      </c>
      <c r="K760" s="537"/>
      <c r="L760" s="51"/>
      <c r="N760" s="10"/>
    </row>
    <row r="761" spans="1:14" ht="31.5" x14ac:dyDescent="0.25">
      <c r="A761" s="222">
        <v>724</v>
      </c>
      <c r="B761" s="74" t="s">
        <v>234</v>
      </c>
      <c r="C761" s="53" t="s">
        <v>27</v>
      </c>
      <c r="D761" s="54">
        <v>1.1000000000000001</v>
      </c>
      <c r="E761" s="11">
        <f>E760*D761*0.1</f>
        <v>41.05</v>
      </c>
      <c r="F761" s="11">
        <f t="shared" si="456"/>
        <v>0</v>
      </c>
      <c r="G761" s="11"/>
      <c r="H761" s="540"/>
      <c r="I761" s="11">
        <f t="shared" si="457"/>
        <v>0</v>
      </c>
      <c r="J761" s="11"/>
      <c r="K761" s="11">
        <f>H761*E761</f>
        <v>0</v>
      </c>
      <c r="L761" s="48" t="s">
        <v>15</v>
      </c>
      <c r="N761" s="10"/>
    </row>
    <row r="762" spans="1:14" x14ac:dyDescent="0.25">
      <c r="A762" s="529">
        <v>725</v>
      </c>
      <c r="B762" s="49" t="s">
        <v>60</v>
      </c>
      <c r="C762" s="125" t="s">
        <v>1</v>
      </c>
      <c r="D762" s="50"/>
      <c r="E762" s="15">
        <f>E760</f>
        <v>373.2</v>
      </c>
      <c r="F762" s="537">
        <f t="shared" ref="F762:F763" si="458">G762+H762</f>
        <v>0</v>
      </c>
      <c r="G762" s="538"/>
      <c r="H762" s="537"/>
      <c r="I762" s="537">
        <f t="shared" ref="I762:I763" si="459">J762+K762</f>
        <v>0</v>
      </c>
      <c r="J762" s="539">
        <f>G762*E762</f>
        <v>0</v>
      </c>
      <c r="K762" s="537"/>
      <c r="L762" s="51"/>
      <c r="N762" s="10"/>
    </row>
    <row r="763" spans="1:14" x14ac:dyDescent="0.25">
      <c r="A763" s="222">
        <v>726</v>
      </c>
      <c r="B763" s="52" t="s">
        <v>29</v>
      </c>
      <c r="C763" s="53" t="s">
        <v>1</v>
      </c>
      <c r="D763" s="54">
        <v>1.1499999999999999</v>
      </c>
      <c r="E763" s="11">
        <f>E762*D763</f>
        <v>429.18</v>
      </c>
      <c r="F763" s="11">
        <f t="shared" si="458"/>
        <v>0</v>
      </c>
      <c r="G763" s="11"/>
      <c r="H763" s="540"/>
      <c r="I763" s="11">
        <f t="shared" si="459"/>
        <v>0</v>
      </c>
      <c r="J763" s="11"/>
      <c r="K763" s="11">
        <f>H763*E763</f>
        <v>0</v>
      </c>
      <c r="L763" s="48" t="s">
        <v>15</v>
      </c>
      <c r="N763" s="10"/>
    </row>
    <row r="764" spans="1:14" x14ac:dyDescent="0.25">
      <c r="A764" s="529">
        <v>727</v>
      </c>
      <c r="B764" s="108" t="s">
        <v>85</v>
      </c>
      <c r="C764" s="121" t="s">
        <v>1</v>
      </c>
      <c r="D764" s="110"/>
      <c r="E764" s="15">
        <f>Расч.!K175*0.22</f>
        <v>17.14</v>
      </c>
      <c r="F764" s="537">
        <f t="shared" ref="F764:F765" si="460">G764+H764</f>
        <v>0</v>
      </c>
      <c r="G764" s="538"/>
      <c r="H764" s="537"/>
      <c r="I764" s="537">
        <f t="shared" ref="I764:I765" si="461">J764+K764</f>
        <v>0</v>
      </c>
      <c r="J764" s="539">
        <f>G764*E764</f>
        <v>0</v>
      </c>
      <c r="K764" s="537"/>
      <c r="L764" s="122"/>
      <c r="N764" s="10"/>
    </row>
    <row r="765" spans="1:14" ht="31.5" x14ac:dyDescent="0.25">
      <c r="A765" s="222">
        <v>728</v>
      </c>
      <c r="B765" s="74" t="s">
        <v>248</v>
      </c>
      <c r="C765" s="104" t="s">
        <v>27</v>
      </c>
      <c r="D765" s="105">
        <v>1.1000000000000001</v>
      </c>
      <c r="E765" s="11">
        <f>E764*0.1*D765</f>
        <v>1.89</v>
      </c>
      <c r="F765" s="11">
        <f t="shared" si="460"/>
        <v>0</v>
      </c>
      <c r="G765" s="11"/>
      <c r="H765" s="540"/>
      <c r="I765" s="11">
        <f t="shared" si="461"/>
        <v>0</v>
      </c>
      <c r="J765" s="11"/>
      <c r="K765" s="11">
        <f>H765*E765</f>
        <v>0</v>
      </c>
      <c r="L765" s="48" t="s">
        <v>15</v>
      </c>
      <c r="N765" s="10"/>
    </row>
    <row r="766" spans="1:14" ht="47.25" x14ac:dyDescent="0.25">
      <c r="A766" s="529">
        <v>729</v>
      </c>
      <c r="B766" s="49" t="s">
        <v>82</v>
      </c>
      <c r="C766" s="125" t="s">
        <v>1</v>
      </c>
      <c r="D766" s="50"/>
      <c r="E766" s="15">
        <f>Расч.!I48</f>
        <v>365.41</v>
      </c>
      <c r="F766" s="537">
        <f t="shared" ref="F766:F768" si="462">G766+H766</f>
        <v>0</v>
      </c>
      <c r="G766" s="538"/>
      <c r="H766" s="537"/>
      <c r="I766" s="537">
        <f t="shared" ref="I766:I768" si="463">J766+K766</f>
        <v>0</v>
      </c>
      <c r="J766" s="539">
        <f>G766*E766</f>
        <v>0</v>
      </c>
      <c r="K766" s="537"/>
      <c r="L766" s="51"/>
      <c r="N766" s="10"/>
    </row>
    <row r="767" spans="1:14" x14ac:dyDescent="0.25">
      <c r="A767" s="222">
        <v>730</v>
      </c>
      <c r="B767" s="55" t="s">
        <v>26</v>
      </c>
      <c r="C767" s="53" t="s">
        <v>27</v>
      </c>
      <c r="D767" s="56">
        <v>1.0149999999999999</v>
      </c>
      <c r="E767" s="11">
        <f>Расч.!J49*D767</f>
        <v>60.58</v>
      </c>
      <c r="F767" s="11">
        <f t="shared" si="462"/>
        <v>0</v>
      </c>
      <c r="G767" s="11"/>
      <c r="H767" s="540"/>
      <c r="I767" s="11">
        <f t="shared" si="463"/>
        <v>0</v>
      </c>
      <c r="J767" s="11"/>
      <c r="K767" s="11">
        <f>H767*E767</f>
        <v>0</v>
      </c>
      <c r="L767" s="48" t="s">
        <v>15</v>
      </c>
      <c r="N767" s="10"/>
    </row>
    <row r="768" spans="1:14" x14ac:dyDescent="0.25">
      <c r="A768" s="222">
        <v>731</v>
      </c>
      <c r="B768" s="55" t="s">
        <v>37</v>
      </c>
      <c r="C768" s="53" t="s">
        <v>1</v>
      </c>
      <c r="D768" s="54">
        <v>1.2</v>
      </c>
      <c r="E768" s="11">
        <f>E766*D768</f>
        <v>438.49</v>
      </c>
      <c r="F768" s="11">
        <f t="shared" si="462"/>
        <v>0</v>
      </c>
      <c r="G768" s="11"/>
      <c r="H768" s="540"/>
      <c r="I768" s="11">
        <f t="shared" si="463"/>
        <v>0</v>
      </c>
      <c r="J768" s="11"/>
      <c r="K768" s="11">
        <f>H768*E768</f>
        <v>0</v>
      </c>
      <c r="L768" s="57" t="s">
        <v>15</v>
      </c>
      <c r="N768" s="10"/>
    </row>
    <row r="769" spans="1:14" ht="33.75" customHeight="1" x14ac:dyDescent="0.25">
      <c r="A769" s="529">
        <v>732</v>
      </c>
      <c r="B769" s="131" t="s">
        <v>61</v>
      </c>
      <c r="C769" s="135" t="s">
        <v>30</v>
      </c>
      <c r="D769" s="133"/>
      <c r="E769" s="15">
        <f>Расч.!E49</f>
        <v>148.13999999999999</v>
      </c>
      <c r="F769" s="537">
        <f t="shared" ref="F769:F770" si="464">G769+H769</f>
        <v>0</v>
      </c>
      <c r="G769" s="538"/>
      <c r="H769" s="537"/>
      <c r="I769" s="537">
        <f t="shared" ref="I769:I770" si="465">J769+K769</f>
        <v>0</v>
      </c>
      <c r="J769" s="539">
        <f>G769*E769</f>
        <v>0</v>
      </c>
      <c r="K769" s="537"/>
      <c r="L769" s="51"/>
      <c r="N769" s="10"/>
    </row>
    <row r="770" spans="1:14" x14ac:dyDescent="0.25">
      <c r="A770" s="222">
        <v>733</v>
      </c>
      <c r="B770" s="138" t="s">
        <v>26</v>
      </c>
      <c r="C770" s="102" t="s">
        <v>27</v>
      </c>
      <c r="D770" s="137">
        <v>5.0000000000000001E-3</v>
      </c>
      <c r="E770" s="11">
        <f>D770*E769</f>
        <v>0.74</v>
      </c>
      <c r="F770" s="11">
        <f t="shared" si="464"/>
        <v>0</v>
      </c>
      <c r="G770" s="11"/>
      <c r="H770" s="540"/>
      <c r="I770" s="11">
        <f t="shared" si="465"/>
        <v>0</v>
      </c>
      <c r="J770" s="11"/>
      <c r="K770" s="11">
        <f>H770*E770</f>
        <v>0</v>
      </c>
      <c r="L770" s="48" t="s">
        <v>15</v>
      </c>
      <c r="N770" s="10"/>
    </row>
    <row r="771" spans="1:14" ht="47.25" x14ac:dyDescent="0.25">
      <c r="A771" s="529">
        <v>734</v>
      </c>
      <c r="B771" s="49" t="s">
        <v>83</v>
      </c>
      <c r="C771" s="125" t="s">
        <v>1</v>
      </c>
      <c r="D771" s="50"/>
      <c r="E771" s="15">
        <f>Расч.!E46+Расч.!E49*0.3</f>
        <v>417.64</v>
      </c>
      <c r="F771" s="537">
        <f t="shared" ref="F771:F772" si="466">G771+H771</f>
        <v>0</v>
      </c>
      <c r="G771" s="538"/>
      <c r="H771" s="537"/>
      <c r="I771" s="537">
        <f t="shared" ref="I771:I772" si="467">J771+K771</f>
        <v>0</v>
      </c>
      <c r="J771" s="539">
        <f>G771*E771</f>
        <v>0</v>
      </c>
      <c r="K771" s="537"/>
      <c r="L771" s="51"/>
      <c r="N771" s="10"/>
    </row>
    <row r="772" spans="1:14" ht="31.5" x14ac:dyDescent="0.25">
      <c r="A772" s="222">
        <v>735</v>
      </c>
      <c r="B772" s="55" t="s">
        <v>84</v>
      </c>
      <c r="C772" s="53" t="s">
        <v>25</v>
      </c>
      <c r="D772" s="54">
        <v>0.35</v>
      </c>
      <c r="E772" s="11">
        <f>E771*D772</f>
        <v>146.16999999999999</v>
      </c>
      <c r="F772" s="11">
        <f t="shared" si="466"/>
        <v>0</v>
      </c>
      <c r="G772" s="11"/>
      <c r="H772" s="540"/>
      <c r="I772" s="11">
        <f t="shared" si="467"/>
        <v>0</v>
      </c>
      <c r="J772" s="11"/>
      <c r="K772" s="11">
        <f>H772*E772</f>
        <v>0</v>
      </c>
      <c r="L772" s="57" t="s">
        <v>15</v>
      </c>
      <c r="N772" s="10"/>
    </row>
    <row r="773" spans="1:14" ht="31.5" x14ac:dyDescent="0.25">
      <c r="A773" s="529">
        <v>736</v>
      </c>
      <c r="B773" s="49" t="s">
        <v>58</v>
      </c>
      <c r="C773" s="125" t="s">
        <v>1</v>
      </c>
      <c r="D773" s="50"/>
      <c r="E773" s="15">
        <f>Расч.!E46</f>
        <v>373.2</v>
      </c>
      <c r="F773" s="537">
        <f t="shared" ref="F773:F776" si="468">G773+H773</f>
        <v>0</v>
      </c>
      <c r="G773" s="538"/>
      <c r="H773" s="537"/>
      <c r="I773" s="537">
        <f t="shared" ref="I773:I776" si="469">J773+K773</f>
        <v>0</v>
      </c>
      <c r="J773" s="539">
        <f>G773*E773</f>
        <v>0</v>
      </c>
      <c r="K773" s="537"/>
      <c r="L773" s="51"/>
      <c r="N773" s="10"/>
    </row>
    <row r="774" spans="1:14" x14ac:dyDescent="0.25">
      <c r="A774" s="222">
        <v>737</v>
      </c>
      <c r="B774" s="459" t="s">
        <v>68</v>
      </c>
      <c r="C774" s="440" t="s">
        <v>1</v>
      </c>
      <c r="D774" s="441">
        <v>1.1599999999999999</v>
      </c>
      <c r="E774" s="11">
        <f>E773*D774</f>
        <v>432.91</v>
      </c>
      <c r="F774" s="11">
        <f t="shared" si="468"/>
        <v>0</v>
      </c>
      <c r="G774" s="11"/>
      <c r="H774" s="540"/>
      <c r="I774" s="11">
        <f t="shared" si="469"/>
        <v>0</v>
      </c>
      <c r="J774" s="11"/>
      <c r="K774" s="11">
        <f>H774*E774</f>
        <v>0</v>
      </c>
      <c r="L774" s="57" t="s">
        <v>15</v>
      </c>
      <c r="N774" s="10"/>
    </row>
    <row r="775" spans="1:14" x14ac:dyDescent="0.25">
      <c r="A775" s="222">
        <v>738</v>
      </c>
      <c r="B775" s="459" t="s">
        <v>219</v>
      </c>
      <c r="C775" s="440" t="s">
        <v>1</v>
      </c>
      <c r="D775" s="441">
        <v>1.1399999999999999</v>
      </c>
      <c r="E775" s="11">
        <f>E773*D775</f>
        <v>425.45</v>
      </c>
      <c r="F775" s="11">
        <f t="shared" si="468"/>
        <v>0</v>
      </c>
      <c r="G775" s="11"/>
      <c r="H775" s="540"/>
      <c r="I775" s="11">
        <f t="shared" si="469"/>
        <v>0</v>
      </c>
      <c r="J775" s="11"/>
      <c r="K775" s="11">
        <f>H775*E775</f>
        <v>0</v>
      </c>
      <c r="L775" s="57" t="s">
        <v>15</v>
      </c>
      <c r="N775" s="10"/>
    </row>
    <row r="776" spans="1:14" x14ac:dyDescent="0.25">
      <c r="A776" s="222">
        <v>739</v>
      </c>
      <c r="B776" s="459" t="s">
        <v>28</v>
      </c>
      <c r="C776" s="464" t="s">
        <v>3</v>
      </c>
      <c r="D776" s="465">
        <v>0.6</v>
      </c>
      <c r="E776" s="11">
        <f>E773*D776</f>
        <v>223.92</v>
      </c>
      <c r="F776" s="11">
        <f t="shared" si="468"/>
        <v>0</v>
      </c>
      <c r="G776" s="11"/>
      <c r="H776" s="540"/>
      <c r="I776" s="11">
        <f t="shared" si="469"/>
        <v>0</v>
      </c>
      <c r="J776" s="11"/>
      <c r="K776" s="11">
        <f>H776*E776</f>
        <v>0</v>
      </c>
      <c r="L776" s="106" t="s">
        <v>15</v>
      </c>
      <c r="N776" s="10"/>
    </row>
    <row r="777" spans="1:14" ht="31.5" x14ac:dyDescent="0.25">
      <c r="A777" s="529">
        <v>740</v>
      </c>
      <c r="B777" s="49" t="s">
        <v>35</v>
      </c>
      <c r="C777" s="125" t="s">
        <v>30</v>
      </c>
      <c r="D777" s="50"/>
      <c r="E777" s="15">
        <f>Расч.!E49</f>
        <v>148.13999999999999</v>
      </c>
      <c r="F777" s="537">
        <f t="shared" ref="F777:F784" si="470">G777+H777</f>
        <v>0</v>
      </c>
      <c r="G777" s="538"/>
      <c r="H777" s="537"/>
      <c r="I777" s="537">
        <f t="shared" ref="I777:I784" si="471">J777+K777</f>
        <v>0</v>
      </c>
      <c r="J777" s="539">
        <f>G777*E777</f>
        <v>0</v>
      </c>
      <c r="K777" s="537"/>
      <c r="L777" s="51"/>
      <c r="N777" s="10"/>
    </row>
    <row r="778" spans="1:14" x14ac:dyDescent="0.25">
      <c r="A778" s="222">
        <v>741</v>
      </c>
      <c r="B778" s="459" t="s">
        <v>68</v>
      </c>
      <c r="C778" s="440" t="s">
        <v>1</v>
      </c>
      <c r="D778" s="441">
        <v>1.1599999999999999</v>
      </c>
      <c r="E778" s="11">
        <f>E777*0.5*D778</f>
        <v>85.92</v>
      </c>
      <c r="F778" s="11">
        <f t="shared" si="470"/>
        <v>0</v>
      </c>
      <c r="G778" s="11"/>
      <c r="H778" s="540"/>
      <c r="I778" s="11">
        <f t="shared" si="471"/>
        <v>0</v>
      </c>
      <c r="J778" s="11"/>
      <c r="K778" s="11">
        <f>H778*E778</f>
        <v>0</v>
      </c>
      <c r="L778" s="48" t="s">
        <v>15</v>
      </c>
      <c r="N778" s="10"/>
    </row>
    <row r="779" spans="1:14" x14ac:dyDescent="0.25">
      <c r="A779" s="222">
        <v>742</v>
      </c>
      <c r="B779" s="459" t="s">
        <v>219</v>
      </c>
      <c r="C779" s="440" t="s">
        <v>1</v>
      </c>
      <c r="D779" s="441">
        <v>1.1399999999999999</v>
      </c>
      <c r="E779" s="11">
        <f>E777*0.4*D779</f>
        <v>67.55</v>
      </c>
      <c r="F779" s="11">
        <f t="shared" si="470"/>
        <v>0</v>
      </c>
      <c r="G779" s="11"/>
      <c r="H779" s="540"/>
      <c r="I779" s="11">
        <f t="shared" si="471"/>
        <v>0</v>
      </c>
      <c r="J779" s="11"/>
      <c r="K779" s="11">
        <f>H779*E779</f>
        <v>0</v>
      </c>
      <c r="L779" s="48" t="s">
        <v>15</v>
      </c>
      <c r="N779" s="10"/>
    </row>
    <row r="780" spans="1:14" x14ac:dyDescent="0.25">
      <c r="A780" s="222">
        <v>743</v>
      </c>
      <c r="B780" s="459" t="s">
        <v>86</v>
      </c>
      <c r="C780" s="440" t="s">
        <v>1</v>
      </c>
      <c r="D780" s="441">
        <v>1.1399999999999999</v>
      </c>
      <c r="E780" s="11">
        <f>E777*0.25*D780</f>
        <v>42.22</v>
      </c>
      <c r="F780" s="11">
        <f t="shared" si="470"/>
        <v>0</v>
      </c>
      <c r="G780" s="11"/>
      <c r="H780" s="540"/>
      <c r="I780" s="11">
        <f t="shared" si="471"/>
        <v>0</v>
      </c>
      <c r="J780" s="11"/>
      <c r="K780" s="11">
        <f>H780*E780</f>
        <v>0</v>
      </c>
      <c r="L780" s="106" t="s">
        <v>15</v>
      </c>
      <c r="N780" s="10"/>
    </row>
    <row r="781" spans="1:14" x14ac:dyDescent="0.25">
      <c r="A781" s="222">
        <v>744</v>
      </c>
      <c r="B781" s="55" t="s">
        <v>28</v>
      </c>
      <c r="C781" s="47" t="s">
        <v>3</v>
      </c>
      <c r="D781" s="54">
        <v>0.6</v>
      </c>
      <c r="E781" s="11">
        <f>E777*D781</f>
        <v>88.88</v>
      </c>
      <c r="F781" s="11">
        <f t="shared" si="470"/>
        <v>0</v>
      </c>
      <c r="G781" s="11"/>
      <c r="H781" s="540"/>
      <c r="I781" s="11">
        <f t="shared" si="471"/>
        <v>0</v>
      </c>
      <c r="J781" s="11"/>
      <c r="K781" s="11">
        <f>H781*E781</f>
        <v>0</v>
      </c>
      <c r="L781" s="106" t="s">
        <v>15</v>
      </c>
      <c r="N781" s="10"/>
    </row>
    <row r="782" spans="1:14" ht="31.5" x14ac:dyDescent="0.25">
      <c r="A782" s="222">
        <v>745</v>
      </c>
      <c r="B782" s="55" t="s">
        <v>43</v>
      </c>
      <c r="C782" s="58" t="s">
        <v>2</v>
      </c>
      <c r="D782" s="54">
        <v>1.03</v>
      </c>
      <c r="E782" s="11">
        <f>E777*D782</f>
        <v>152.58000000000001</v>
      </c>
      <c r="F782" s="11">
        <f t="shared" si="470"/>
        <v>0</v>
      </c>
      <c r="G782" s="11"/>
      <c r="H782" s="540"/>
      <c r="I782" s="11">
        <f t="shared" si="471"/>
        <v>0</v>
      </c>
      <c r="J782" s="11"/>
      <c r="K782" s="11">
        <f>H782*E782</f>
        <v>0</v>
      </c>
      <c r="L782" s="48" t="s">
        <v>15</v>
      </c>
      <c r="N782" s="10"/>
    </row>
    <row r="783" spans="1:14" x14ac:dyDescent="0.25">
      <c r="A783" s="222">
        <v>746</v>
      </c>
      <c r="B783" s="55" t="s">
        <v>31</v>
      </c>
      <c r="C783" s="59" t="s">
        <v>0</v>
      </c>
      <c r="D783" s="54">
        <v>5</v>
      </c>
      <c r="E783" s="11">
        <f>ROUND(E777*D783,0)</f>
        <v>741</v>
      </c>
      <c r="F783" s="11">
        <f t="shared" si="470"/>
        <v>0</v>
      </c>
      <c r="G783" s="11"/>
      <c r="H783" s="540"/>
      <c r="I783" s="11">
        <f t="shared" si="471"/>
        <v>0</v>
      </c>
      <c r="J783" s="11"/>
      <c r="K783" s="11">
        <f>H783*E783</f>
        <v>0</v>
      </c>
      <c r="L783" s="48" t="s">
        <v>15</v>
      </c>
      <c r="N783" s="10"/>
    </row>
    <row r="784" spans="1:14" ht="31.5" x14ac:dyDescent="0.25">
      <c r="A784" s="222">
        <v>747</v>
      </c>
      <c r="B784" s="55" t="s">
        <v>69</v>
      </c>
      <c r="C784" s="60" t="s">
        <v>0</v>
      </c>
      <c r="D784" s="54">
        <v>0.15</v>
      </c>
      <c r="E784" s="11">
        <f>ROUND(E777*D784,0)</f>
        <v>22</v>
      </c>
      <c r="F784" s="11">
        <f t="shared" si="470"/>
        <v>0</v>
      </c>
      <c r="G784" s="11"/>
      <c r="H784" s="540"/>
      <c r="I784" s="11">
        <f t="shared" si="471"/>
        <v>0</v>
      </c>
      <c r="J784" s="11"/>
      <c r="K784" s="11">
        <f>H784*E784</f>
        <v>0</v>
      </c>
      <c r="L784" s="48" t="s">
        <v>15</v>
      </c>
      <c r="N784" s="10"/>
    </row>
    <row r="785" spans="1:14" x14ac:dyDescent="0.25">
      <c r="A785" s="529">
        <v>748</v>
      </c>
      <c r="B785" s="49" t="s">
        <v>32</v>
      </c>
      <c r="C785" s="125" t="s">
        <v>0</v>
      </c>
      <c r="D785" s="50"/>
      <c r="E785" s="15">
        <v>2</v>
      </c>
      <c r="F785" s="537">
        <f t="shared" ref="F785:F786" si="472">G785+H785</f>
        <v>0</v>
      </c>
      <c r="G785" s="538"/>
      <c r="H785" s="537"/>
      <c r="I785" s="537">
        <f t="shared" ref="I785:I786" si="473">J785+K785</f>
        <v>0</v>
      </c>
      <c r="J785" s="539">
        <f>G785*E785</f>
        <v>0</v>
      </c>
      <c r="K785" s="537"/>
      <c r="L785" s="51"/>
      <c r="N785" s="10"/>
    </row>
    <row r="786" spans="1:14" ht="63" x14ac:dyDescent="0.25">
      <c r="A786" s="222">
        <v>749</v>
      </c>
      <c r="B786" s="459" t="s">
        <v>220</v>
      </c>
      <c r="C786" s="53" t="s">
        <v>0</v>
      </c>
      <c r="D786" s="54">
        <v>1</v>
      </c>
      <c r="E786" s="11">
        <f>E785</f>
        <v>2</v>
      </c>
      <c r="F786" s="11">
        <f t="shared" si="472"/>
        <v>0</v>
      </c>
      <c r="G786" s="11"/>
      <c r="H786" s="540"/>
      <c r="I786" s="11">
        <f t="shared" si="473"/>
        <v>0</v>
      </c>
      <c r="J786" s="11"/>
      <c r="K786" s="11">
        <f>H786*E786</f>
        <v>0</v>
      </c>
      <c r="L786" s="48" t="s">
        <v>15</v>
      </c>
      <c r="N786" s="10"/>
    </row>
    <row r="787" spans="1:14" x14ac:dyDescent="0.25">
      <c r="A787" s="529">
        <v>750</v>
      </c>
      <c r="B787" s="49" t="s">
        <v>52</v>
      </c>
      <c r="C787" s="125" t="s">
        <v>0</v>
      </c>
      <c r="D787" s="50"/>
      <c r="E787" s="15">
        <v>3</v>
      </c>
      <c r="F787" s="537">
        <f t="shared" ref="F787:F788" si="474">G787+H787</f>
        <v>0</v>
      </c>
      <c r="G787" s="538"/>
      <c r="H787" s="537"/>
      <c r="I787" s="537">
        <f t="shared" ref="I787:I788" si="475">J787+K787</f>
        <v>0</v>
      </c>
      <c r="J787" s="539">
        <f>G787*E787</f>
        <v>0</v>
      </c>
      <c r="K787" s="537"/>
      <c r="L787" s="51"/>
      <c r="N787" s="10"/>
    </row>
    <row r="788" spans="1:14" x14ac:dyDescent="0.25">
      <c r="A788" s="222">
        <v>751</v>
      </c>
      <c r="B788" s="459" t="s">
        <v>236</v>
      </c>
      <c r="C788" s="53" t="s">
        <v>0</v>
      </c>
      <c r="D788" s="54">
        <v>1</v>
      </c>
      <c r="E788" s="11">
        <f>E787*D788</f>
        <v>3</v>
      </c>
      <c r="F788" s="11">
        <f t="shared" si="474"/>
        <v>0</v>
      </c>
      <c r="G788" s="11"/>
      <c r="H788" s="540"/>
      <c r="I788" s="11">
        <f t="shared" si="475"/>
        <v>0</v>
      </c>
      <c r="J788" s="11"/>
      <c r="K788" s="11">
        <f>H788*E788</f>
        <v>0</v>
      </c>
      <c r="L788" s="48" t="s">
        <v>15</v>
      </c>
      <c r="N788" s="10"/>
    </row>
    <row r="789" spans="1:14" ht="31.5" x14ac:dyDescent="0.25">
      <c r="A789" s="529">
        <v>752</v>
      </c>
      <c r="B789" s="49" t="s">
        <v>62</v>
      </c>
      <c r="C789" s="125" t="s">
        <v>0</v>
      </c>
      <c r="D789" s="50"/>
      <c r="E789" s="15">
        <v>12</v>
      </c>
      <c r="F789" s="537">
        <f t="shared" ref="F789:F792" si="476">G789+H789</f>
        <v>0</v>
      </c>
      <c r="G789" s="538"/>
      <c r="H789" s="537"/>
      <c r="I789" s="537">
        <f t="shared" ref="I789:I792" si="477">J789+K789</f>
        <v>0</v>
      </c>
      <c r="J789" s="539">
        <f>G789*E789</f>
        <v>0</v>
      </c>
      <c r="K789" s="537"/>
      <c r="L789" s="51"/>
      <c r="N789" s="10"/>
    </row>
    <row r="790" spans="1:14" ht="31.5" x14ac:dyDescent="0.25">
      <c r="A790" s="222">
        <v>753</v>
      </c>
      <c r="B790" s="55" t="s">
        <v>69</v>
      </c>
      <c r="C790" s="53" t="s">
        <v>0</v>
      </c>
      <c r="D790" s="54">
        <v>0.15</v>
      </c>
      <c r="E790" s="11">
        <f>ROUNDUP(D790*E789,0)</f>
        <v>2</v>
      </c>
      <c r="F790" s="11">
        <f t="shared" si="476"/>
        <v>0</v>
      </c>
      <c r="G790" s="11"/>
      <c r="H790" s="540"/>
      <c r="I790" s="11">
        <f t="shared" si="477"/>
        <v>0</v>
      </c>
      <c r="J790" s="11"/>
      <c r="K790" s="11">
        <f>H790*E790</f>
        <v>0</v>
      </c>
      <c r="L790" s="48" t="s">
        <v>15</v>
      </c>
      <c r="N790" s="10"/>
    </row>
    <row r="791" spans="1:14" ht="31.5" x14ac:dyDescent="0.25">
      <c r="A791" s="222">
        <v>754</v>
      </c>
      <c r="B791" s="55" t="s">
        <v>66</v>
      </c>
      <c r="C791" s="53" t="s">
        <v>0</v>
      </c>
      <c r="D791" s="54">
        <v>1</v>
      </c>
      <c r="E791" s="11">
        <f>E789</f>
        <v>12</v>
      </c>
      <c r="F791" s="11">
        <f t="shared" si="476"/>
        <v>0</v>
      </c>
      <c r="G791" s="11"/>
      <c r="H791" s="540"/>
      <c r="I791" s="11">
        <f t="shared" si="477"/>
        <v>0</v>
      </c>
      <c r="J791" s="11"/>
      <c r="K791" s="11">
        <f>H791*E791</f>
        <v>0</v>
      </c>
      <c r="L791" s="48" t="s">
        <v>15</v>
      </c>
      <c r="N791" s="10"/>
    </row>
    <row r="792" spans="1:14" x14ac:dyDescent="0.25">
      <c r="A792" s="222">
        <v>755</v>
      </c>
      <c r="B792" s="107" t="s">
        <v>87</v>
      </c>
      <c r="C792" s="53" t="s">
        <v>0</v>
      </c>
      <c r="D792" s="54">
        <v>1</v>
      </c>
      <c r="E792" s="11">
        <f>E789*D792</f>
        <v>12</v>
      </c>
      <c r="F792" s="11">
        <f t="shared" si="476"/>
        <v>0</v>
      </c>
      <c r="G792" s="11"/>
      <c r="H792" s="540"/>
      <c r="I792" s="11">
        <f t="shared" si="477"/>
        <v>0</v>
      </c>
      <c r="J792" s="11"/>
      <c r="K792" s="11">
        <f>H792*E792</f>
        <v>0</v>
      </c>
      <c r="L792" s="48" t="s">
        <v>15</v>
      </c>
      <c r="N792" s="10"/>
    </row>
    <row r="793" spans="1:14" ht="31.5" x14ac:dyDescent="0.25">
      <c r="A793" s="529">
        <v>756</v>
      </c>
      <c r="B793" s="49" t="s">
        <v>88</v>
      </c>
      <c r="C793" s="125" t="s">
        <v>0</v>
      </c>
      <c r="D793" s="50"/>
      <c r="E793" s="15">
        <v>3</v>
      </c>
      <c r="F793" s="537">
        <f t="shared" ref="F793:F796" si="478">G793+H793</f>
        <v>0</v>
      </c>
      <c r="G793" s="538"/>
      <c r="H793" s="537"/>
      <c r="I793" s="537">
        <f t="shared" ref="I793:I796" si="479">J793+K793</f>
        <v>0</v>
      </c>
      <c r="J793" s="539">
        <f>G793*E793</f>
        <v>0</v>
      </c>
      <c r="K793" s="537"/>
      <c r="L793" s="51"/>
      <c r="N793" s="10"/>
    </row>
    <row r="794" spans="1:14" x14ac:dyDescent="0.25">
      <c r="A794" s="222">
        <v>757</v>
      </c>
      <c r="B794" s="107" t="s">
        <v>89</v>
      </c>
      <c r="C794" s="104" t="s">
        <v>0</v>
      </c>
      <c r="D794" s="105">
        <v>1</v>
      </c>
      <c r="E794" s="11">
        <f>E793*D794</f>
        <v>3</v>
      </c>
      <c r="F794" s="11">
        <f t="shared" si="478"/>
        <v>0</v>
      </c>
      <c r="G794" s="11"/>
      <c r="H794" s="540"/>
      <c r="I794" s="11">
        <f t="shared" si="479"/>
        <v>0</v>
      </c>
      <c r="J794" s="11"/>
      <c r="K794" s="11">
        <f>H794*E794</f>
        <v>0</v>
      </c>
      <c r="L794" s="48" t="s">
        <v>15</v>
      </c>
      <c r="N794" s="10"/>
    </row>
    <row r="795" spans="1:14" x14ac:dyDescent="0.25">
      <c r="A795" s="222">
        <v>758</v>
      </c>
      <c r="B795" s="107" t="s">
        <v>87</v>
      </c>
      <c r="C795" s="104" t="s">
        <v>0</v>
      </c>
      <c r="D795" s="105">
        <v>1</v>
      </c>
      <c r="E795" s="11">
        <f>E793*D795</f>
        <v>3</v>
      </c>
      <c r="F795" s="11">
        <f t="shared" si="478"/>
        <v>0</v>
      </c>
      <c r="G795" s="11"/>
      <c r="H795" s="540"/>
      <c r="I795" s="11">
        <f t="shared" si="479"/>
        <v>0</v>
      </c>
      <c r="J795" s="11"/>
      <c r="K795" s="11">
        <f>H795*E795</f>
        <v>0</v>
      </c>
      <c r="L795" s="48" t="s">
        <v>15</v>
      </c>
      <c r="N795" s="10"/>
    </row>
    <row r="796" spans="1:14" ht="31.5" x14ac:dyDescent="0.25">
      <c r="A796" s="222">
        <v>759</v>
      </c>
      <c r="B796" s="107" t="s">
        <v>90</v>
      </c>
      <c r="C796" s="104" t="s">
        <v>0</v>
      </c>
      <c r="D796" s="105">
        <v>0.15</v>
      </c>
      <c r="E796" s="11">
        <f>ROUNDUP(E793*D796,0)</f>
        <v>1</v>
      </c>
      <c r="F796" s="11">
        <f t="shared" si="478"/>
        <v>0</v>
      </c>
      <c r="G796" s="11"/>
      <c r="H796" s="540"/>
      <c r="I796" s="11">
        <f t="shared" si="479"/>
        <v>0</v>
      </c>
      <c r="J796" s="11"/>
      <c r="K796" s="11">
        <f>H796*E796</f>
        <v>0</v>
      </c>
      <c r="L796" s="48" t="s">
        <v>15</v>
      </c>
      <c r="N796" s="10"/>
    </row>
    <row r="797" spans="1:14" x14ac:dyDescent="0.25">
      <c r="A797" s="529">
        <v>760</v>
      </c>
      <c r="B797" s="49" t="s">
        <v>59</v>
      </c>
      <c r="C797" s="125" t="s">
        <v>30</v>
      </c>
      <c r="D797" s="50"/>
      <c r="E797" s="15">
        <f>Расч.!P172</f>
        <v>66</v>
      </c>
      <c r="F797" s="537">
        <f t="shared" ref="F797:F800" si="480">G797+H797</f>
        <v>0</v>
      </c>
      <c r="G797" s="538"/>
      <c r="H797" s="537"/>
      <c r="I797" s="537">
        <f t="shared" ref="I797:I800" si="481">J797+K797</f>
        <v>0</v>
      </c>
      <c r="J797" s="539">
        <f>G797*E797</f>
        <v>0</v>
      </c>
      <c r="K797" s="537"/>
      <c r="L797" s="51"/>
      <c r="N797" s="10"/>
    </row>
    <row r="798" spans="1:14" x14ac:dyDescent="0.25">
      <c r="A798" s="222">
        <v>761</v>
      </c>
      <c r="B798" s="55" t="s">
        <v>31</v>
      </c>
      <c r="C798" s="54" t="s">
        <v>0</v>
      </c>
      <c r="D798" s="54">
        <v>5</v>
      </c>
      <c r="E798" s="61">
        <f>ROUND(E797*D798,0)</f>
        <v>330</v>
      </c>
      <c r="F798" s="11">
        <f t="shared" si="480"/>
        <v>0</v>
      </c>
      <c r="G798" s="11"/>
      <c r="H798" s="540"/>
      <c r="I798" s="11">
        <f t="shared" si="481"/>
        <v>0</v>
      </c>
      <c r="J798" s="11"/>
      <c r="K798" s="11">
        <f>H798*E798</f>
        <v>0</v>
      </c>
      <c r="L798" s="48" t="s">
        <v>15</v>
      </c>
      <c r="N798" s="10"/>
    </row>
    <row r="799" spans="1:14" ht="47.25" x14ac:dyDescent="0.25">
      <c r="A799" s="222">
        <v>762</v>
      </c>
      <c r="B799" s="55" t="s">
        <v>139</v>
      </c>
      <c r="C799" s="53" t="s">
        <v>30</v>
      </c>
      <c r="D799" s="54">
        <v>1.1000000000000001</v>
      </c>
      <c r="E799" s="11">
        <f>E797*D799</f>
        <v>72.599999999999994</v>
      </c>
      <c r="F799" s="11">
        <f t="shared" si="480"/>
        <v>0</v>
      </c>
      <c r="G799" s="11"/>
      <c r="H799" s="540"/>
      <c r="I799" s="11">
        <f t="shared" si="481"/>
        <v>0</v>
      </c>
      <c r="J799" s="11"/>
      <c r="K799" s="11">
        <f>H799*E799</f>
        <v>0</v>
      </c>
      <c r="L799" s="57" t="s">
        <v>95</v>
      </c>
      <c r="N799" s="10"/>
    </row>
    <row r="800" spans="1:14" x14ac:dyDescent="0.25">
      <c r="A800" s="222">
        <v>763</v>
      </c>
      <c r="B800" s="55" t="s">
        <v>34</v>
      </c>
      <c r="C800" s="53" t="s">
        <v>0</v>
      </c>
      <c r="D800" s="54">
        <v>1.66</v>
      </c>
      <c r="E800" s="11">
        <f>ROUND(D800*E797,0)</f>
        <v>110</v>
      </c>
      <c r="F800" s="11">
        <f t="shared" si="480"/>
        <v>0</v>
      </c>
      <c r="G800" s="11"/>
      <c r="H800" s="540"/>
      <c r="I800" s="11">
        <f t="shared" si="481"/>
        <v>0</v>
      </c>
      <c r="J800" s="11"/>
      <c r="K800" s="11">
        <f>H800*E800</f>
        <v>0</v>
      </c>
      <c r="L800" s="48" t="s">
        <v>15</v>
      </c>
      <c r="N800" s="10"/>
    </row>
    <row r="801" spans="1:14" x14ac:dyDescent="0.25">
      <c r="A801" s="529">
        <v>764</v>
      </c>
      <c r="B801" s="466" t="s">
        <v>64</v>
      </c>
      <c r="C801" s="456" t="s">
        <v>30</v>
      </c>
      <c r="D801" s="457"/>
      <c r="E801" s="15">
        <f>Расч.!P173</f>
        <v>18.5</v>
      </c>
      <c r="F801" s="537">
        <f t="shared" ref="F801:F804" si="482">G801+H801</f>
        <v>0</v>
      </c>
      <c r="G801" s="538"/>
      <c r="H801" s="537"/>
      <c r="I801" s="537">
        <f t="shared" ref="I801:I804" si="483">J801+K801</f>
        <v>0</v>
      </c>
      <c r="J801" s="539">
        <f>G801*E801</f>
        <v>0</v>
      </c>
      <c r="K801" s="537"/>
      <c r="L801" s="458"/>
      <c r="N801" s="10"/>
    </row>
    <row r="802" spans="1:14" ht="47.25" x14ac:dyDescent="0.25">
      <c r="A802" s="222">
        <v>765</v>
      </c>
      <c r="B802" s="459" t="s">
        <v>222</v>
      </c>
      <c r="C802" s="440" t="s">
        <v>2</v>
      </c>
      <c r="D802" s="441">
        <v>1.1000000000000001</v>
      </c>
      <c r="E802" s="11">
        <f>E801*D802</f>
        <v>20.350000000000001</v>
      </c>
      <c r="F802" s="11">
        <f t="shared" si="482"/>
        <v>0</v>
      </c>
      <c r="G802" s="11"/>
      <c r="H802" s="540"/>
      <c r="I802" s="11">
        <f t="shared" si="483"/>
        <v>0</v>
      </c>
      <c r="J802" s="11"/>
      <c r="K802" s="11">
        <f>H802*E802</f>
        <v>0</v>
      </c>
      <c r="L802" s="468" t="s">
        <v>223</v>
      </c>
      <c r="N802" s="10"/>
    </row>
    <row r="803" spans="1:14" x14ac:dyDescent="0.25">
      <c r="A803" s="222">
        <v>766</v>
      </c>
      <c r="B803" s="469" t="s">
        <v>31</v>
      </c>
      <c r="C803" s="470" t="s">
        <v>0</v>
      </c>
      <c r="D803" s="471">
        <v>5</v>
      </c>
      <c r="E803" s="11">
        <f>ROUND(D803*E801,0)</f>
        <v>93</v>
      </c>
      <c r="F803" s="11">
        <f t="shared" si="482"/>
        <v>0</v>
      </c>
      <c r="G803" s="11"/>
      <c r="H803" s="540"/>
      <c r="I803" s="11">
        <f t="shared" si="483"/>
        <v>0</v>
      </c>
      <c r="J803" s="11"/>
      <c r="K803" s="11">
        <f>H803*E803</f>
        <v>0</v>
      </c>
      <c r="L803" s="449" t="s">
        <v>15</v>
      </c>
      <c r="N803" s="10"/>
    </row>
    <row r="804" spans="1:14" x14ac:dyDescent="0.25">
      <c r="A804" s="222">
        <v>767</v>
      </c>
      <c r="B804" s="459" t="s">
        <v>26</v>
      </c>
      <c r="C804" s="440" t="s">
        <v>27</v>
      </c>
      <c r="D804" s="472">
        <v>1.0149999999999999</v>
      </c>
      <c r="E804" s="11">
        <f>E801*0.12*((0.03+0.01)/2)*D804</f>
        <v>0.05</v>
      </c>
      <c r="F804" s="11">
        <f t="shared" si="482"/>
        <v>0</v>
      </c>
      <c r="G804" s="11"/>
      <c r="H804" s="540"/>
      <c r="I804" s="11">
        <f t="shared" si="483"/>
        <v>0</v>
      </c>
      <c r="J804" s="11"/>
      <c r="K804" s="11">
        <f>H804*E804</f>
        <v>0</v>
      </c>
      <c r="L804" s="449" t="s">
        <v>15</v>
      </c>
      <c r="N804" s="10"/>
    </row>
    <row r="805" spans="1:14" x14ac:dyDescent="0.25">
      <c r="A805" s="462"/>
      <c r="B805" s="451" t="s">
        <v>63</v>
      </c>
      <c r="C805" s="473"/>
      <c r="D805" s="474"/>
      <c r="E805" s="474"/>
      <c r="F805" s="474"/>
      <c r="G805" s="474"/>
      <c r="H805" s="474"/>
      <c r="I805" s="474"/>
      <c r="J805" s="474"/>
      <c r="K805" s="474"/>
      <c r="L805" s="475"/>
      <c r="N805" s="10"/>
    </row>
    <row r="806" spans="1:14" ht="63" x14ac:dyDescent="0.25">
      <c r="A806" s="536">
        <v>768</v>
      </c>
      <c r="B806" s="455" t="s">
        <v>224</v>
      </c>
      <c r="C806" s="456" t="s">
        <v>0</v>
      </c>
      <c r="D806" s="457"/>
      <c r="E806" s="15">
        <v>3</v>
      </c>
      <c r="F806" s="537">
        <f t="shared" ref="F806:F807" si="484">G806+H806</f>
        <v>0</v>
      </c>
      <c r="G806" s="538"/>
      <c r="H806" s="537"/>
      <c r="I806" s="537">
        <f t="shared" ref="I806:I807" si="485">J806+K806</f>
        <v>0</v>
      </c>
      <c r="J806" s="539">
        <f>G806*E806</f>
        <v>0</v>
      </c>
      <c r="K806" s="537"/>
      <c r="L806" s="458"/>
      <c r="N806" s="10"/>
    </row>
    <row r="807" spans="1:14" x14ac:dyDescent="0.25">
      <c r="A807" s="450">
        <v>769</v>
      </c>
      <c r="B807" s="459" t="s">
        <v>225</v>
      </c>
      <c r="C807" s="476" t="s">
        <v>0</v>
      </c>
      <c r="D807" s="441">
        <v>1</v>
      </c>
      <c r="E807" s="297">
        <f>E806*D807</f>
        <v>3</v>
      </c>
      <c r="F807" s="11">
        <f t="shared" si="484"/>
        <v>0</v>
      </c>
      <c r="G807" s="11"/>
      <c r="H807" s="540"/>
      <c r="I807" s="11">
        <f t="shared" si="485"/>
        <v>0</v>
      </c>
      <c r="J807" s="11"/>
      <c r="K807" s="11">
        <f>H807*E807</f>
        <v>0</v>
      </c>
      <c r="L807" s="461" t="s">
        <v>226</v>
      </c>
      <c r="N807" s="10"/>
    </row>
    <row r="808" spans="1:14" ht="63" x14ac:dyDescent="0.25">
      <c r="A808" s="536">
        <v>770</v>
      </c>
      <c r="B808" s="455" t="s">
        <v>224</v>
      </c>
      <c r="C808" s="456" t="s">
        <v>0</v>
      </c>
      <c r="D808" s="457"/>
      <c r="E808" s="15">
        <v>6</v>
      </c>
      <c r="F808" s="537">
        <f t="shared" ref="F808:F809" si="486">G808+H808</f>
        <v>0</v>
      </c>
      <c r="G808" s="538"/>
      <c r="H808" s="537"/>
      <c r="I808" s="537">
        <f t="shared" ref="I808:I809" si="487">J808+K808</f>
        <v>0</v>
      </c>
      <c r="J808" s="539">
        <f>G808*E808</f>
        <v>0</v>
      </c>
      <c r="K808" s="537"/>
      <c r="L808" s="458"/>
      <c r="N808" s="10"/>
    </row>
    <row r="809" spans="1:14" x14ac:dyDescent="0.25">
      <c r="A809" s="450">
        <v>771</v>
      </c>
      <c r="B809" s="459" t="s">
        <v>227</v>
      </c>
      <c r="C809" s="476" t="s">
        <v>0</v>
      </c>
      <c r="D809" s="441">
        <v>1</v>
      </c>
      <c r="E809" s="297">
        <f>E808*D809</f>
        <v>6</v>
      </c>
      <c r="F809" s="11">
        <f t="shared" si="486"/>
        <v>0</v>
      </c>
      <c r="G809" s="11"/>
      <c r="H809" s="540"/>
      <c r="I809" s="11">
        <f t="shared" si="487"/>
        <v>0</v>
      </c>
      <c r="J809" s="11"/>
      <c r="K809" s="11">
        <f>H809*E809</f>
        <v>0</v>
      </c>
      <c r="L809" s="461" t="s">
        <v>226</v>
      </c>
      <c r="N809" s="10"/>
    </row>
    <row r="810" spans="1:14" ht="63" x14ac:dyDescent="0.25">
      <c r="A810" s="536">
        <v>772</v>
      </c>
      <c r="B810" s="455" t="s">
        <v>224</v>
      </c>
      <c r="C810" s="456" t="s">
        <v>0</v>
      </c>
      <c r="D810" s="457"/>
      <c r="E810" s="15">
        <v>3</v>
      </c>
      <c r="F810" s="537">
        <f t="shared" ref="F810:F811" si="488">G810+H810</f>
        <v>0</v>
      </c>
      <c r="G810" s="538"/>
      <c r="H810" s="537"/>
      <c r="I810" s="537">
        <f t="shared" ref="I810:I811" si="489">J810+K810</f>
        <v>0</v>
      </c>
      <c r="J810" s="539">
        <f>G810*E810</f>
        <v>0</v>
      </c>
      <c r="K810" s="537"/>
      <c r="L810" s="458"/>
      <c r="N810" s="10"/>
    </row>
    <row r="811" spans="1:14" x14ac:dyDescent="0.25">
      <c r="A811" s="450">
        <v>773</v>
      </c>
      <c r="B811" s="459" t="s">
        <v>228</v>
      </c>
      <c r="C811" s="476" t="s">
        <v>0</v>
      </c>
      <c r="D811" s="441">
        <v>1</v>
      </c>
      <c r="E811" s="297">
        <f>E810*D811</f>
        <v>3</v>
      </c>
      <c r="F811" s="11">
        <f t="shared" si="488"/>
        <v>0</v>
      </c>
      <c r="G811" s="11"/>
      <c r="H811" s="540"/>
      <c r="I811" s="11">
        <f t="shared" si="489"/>
        <v>0</v>
      </c>
      <c r="J811" s="11"/>
      <c r="K811" s="11">
        <f>H811*E811</f>
        <v>0</v>
      </c>
      <c r="L811" s="461" t="s">
        <v>226</v>
      </c>
      <c r="N811" s="10"/>
    </row>
    <row r="812" spans="1:14" ht="63" x14ac:dyDescent="0.25">
      <c r="A812" s="536">
        <v>774</v>
      </c>
      <c r="B812" s="455" t="s">
        <v>229</v>
      </c>
      <c r="C812" s="456" t="s">
        <v>0</v>
      </c>
      <c r="D812" s="457"/>
      <c r="E812" s="15">
        <v>1</v>
      </c>
      <c r="F812" s="537">
        <f t="shared" ref="F812:F813" si="490">G812+H812</f>
        <v>0</v>
      </c>
      <c r="G812" s="538"/>
      <c r="H812" s="537"/>
      <c r="I812" s="537">
        <f t="shared" ref="I812:I813" si="491">J812+K812</f>
        <v>0</v>
      </c>
      <c r="J812" s="539">
        <f>G812*E812</f>
        <v>0</v>
      </c>
      <c r="K812" s="537"/>
      <c r="L812" s="458"/>
      <c r="N812" s="10"/>
    </row>
    <row r="813" spans="1:14" x14ac:dyDescent="0.25">
      <c r="A813" s="450">
        <v>775</v>
      </c>
      <c r="B813" s="459" t="s">
        <v>230</v>
      </c>
      <c r="C813" s="476" t="s">
        <v>0</v>
      </c>
      <c r="D813" s="441">
        <v>1</v>
      </c>
      <c r="E813" s="297">
        <f>E812*D813</f>
        <v>1</v>
      </c>
      <c r="F813" s="11">
        <f t="shared" si="490"/>
        <v>0</v>
      </c>
      <c r="G813" s="11"/>
      <c r="H813" s="540"/>
      <c r="I813" s="11">
        <f t="shared" si="491"/>
        <v>0</v>
      </c>
      <c r="J813" s="11"/>
      <c r="K813" s="11">
        <f>H813*E813</f>
        <v>0</v>
      </c>
      <c r="L813" s="461" t="s">
        <v>226</v>
      </c>
      <c r="N813" s="10"/>
    </row>
    <row r="814" spans="1:14" x14ac:dyDescent="0.25">
      <c r="A814" s="254"/>
      <c r="B814" s="123" t="s">
        <v>231</v>
      </c>
      <c r="C814" s="23"/>
      <c r="D814" s="24"/>
      <c r="E814" s="24"/>
      <c r="F814" s="24"/>
      <c r="G814" s="24"/>
      <c r="H814" s="24"/>
      <c r="I814" s="24"/>
      <c r="J814" s="24"/>
      <c r="K814" s="24"/>
      <c r="L814" s="25"/>
      <c r="N814" s="10"/>
    </row>
    <row r="815" spans="1:14" ht="31.5" x14ac:dyDescent="0.25">
      <c r="A815" s="529">
        <v>776</v>
      </c>
      <c r="B815" s="40" t="s">
        <v>217</v>
      </c>
      <c r="C815" s="124" t="s">
        <v>1</v>
      </c>
      <c r="D815" s="41"/>
      <c r="E815" s="42">
        <f>Расч.!O46+Расч.!O49*0.1</f>
        <v>11.37</v>
      </c>
      <c r="F815" s="537">
        <f t="shared" ref="F815:F816" si="492">G815+H815</f>
        <v>0</v>
      </c>
      <c r="G815" s="538"/>
      <c r="H815" s="537"/>
      <c r="I815" s="537">
        <f t="shared" ref="I815:I816" si="493">J815+K815</f>
        <v>0</v>
      </c>
      <c r="J815" s="539">
        <f>G815*E815</f>
        <v>0</v>
      </c>
      <c r="K815" s="537"/>
      <c r="L815" s="43"/>
      <c r="N815" s="10"/>
    </row>
    <row r="816" spans="1:14" x14ac:dyDescent="0.25">
      <c r="A816" s="222">
        <v>777</v>
      </c>
      <c r="B816" s="463" t="s">
        <v>218</v>
      </c>
      <c r="C816" s="44" t="s">
        <v>1</v>
      </c>
      <c r="D816" s="45">
        <v>1.1499999999999999</v>
      </c>
      <c r="E816" s="11">
        <f>E815*D816</f>
        <v>13.08</v>
      </c>
      <c r="F816" s="11">
        <f t="shared" si="492"/>
        <v>0</v>
      </c>
      <c r="G816" s="11"/>
      <c r="H816" s="540"/>
      <c r="I816" s="11">
        <f t="shared" si="493"/>
        <v>0</v>
      </c>
      <c r="J816" s="11"/>
      <c r="K816" s="11">
        <f>H816*E816</f>
        <v>0</v>
      </c>
      <c r="L816" s="46" t="s">
        <v>15</v>
      </c>
      <c r="N816" s="10"/>
    </row>
    <row r="817" spans="1:14" x14ac:dyDescent="0.25">
      <c r="A817" s="529">
        <v>778</v>
      </c>
      <c r="B817" s="49" t="s">
        <v>57</v>
      </c>
      <c r="C817" s="125" t="s">
        <v>1</v>
      </c>
      <c r="D817" s="50"/>
      <c r="E817" s="15">
        <f>Расч.!O46</f>
        <v>10.5</v>
      </c>
      <c r="F817" s="537">
        <f t="shared" ref="F817:F818" si="494">G817+H817</f>
        <v>0</v>
      </c>
      <c r="G817" s="538"/>
      <c r="H817" s="537"/>
      <c r="I817" s="537">
        <f t="shared" ref="I817:I818" si="495">J817+K817</f>
        <v>0</v>
      </c>
      <c r="J817" s="539">
        <f>G817*E817</f>
        <v>0</v>
      </c>
      <c r="K817" s="537"/>
      <c r="L817" s="51"/>
      <c r="N817" s="10"/>
    </row>
    <row r="818" spans="1:14" ht="31.5" x14ac:dyDescent="0.25">
      <c r="A818" s="222">
        <v>779</v>
      </c>
      <c r="B818" s="74" t="s">
        <v>234</v>
      </c>
      <c r="C818" s="53" t="s">
        <v>27</v>
      </c>
      <c r="D818" s="54">
        <v>1.1000000000000001</v>
      </c>
      <c r="E818" s="11">
        <f>E817*D818*0.1</f>
        <v>1.1599999999999999</v>
      </c>
      <c r="F818" s="11">
        <f t="shared" si="494"/>
        <v>0</v>
      </c>
      <c r="G818" s="11"/>
      <c r="H818" s="540"/>
      <c r="I818" s="11">
        <f t="shared" si="495"/>
        <v>0</v>
      </c>
      <c r="J818" s="11"/>
      <c r="K818" s="11">
        <f>H818*E818</f>
        <v>0</v>
      </c>
      <c r="L818" s="48" t="s">
        <v>15</v>
      </c>
      <c r="N818" s="10"/>
    </row>
    <row r="819" spans="1:14" x14ac:dyDescent="0.25">
      <c r="A819" s="529">
        <v>780</v>
      </c>
      <c r="B819" s="49" t="s">
        <v>60</v>
      </c>
      <c r="C819" s="125" t="s">
        <v>1</v>
      </c>
      <c r="D819" s="50"/>
      <c r="E819" s="15">
        <f>E817</f>
        <v>10.5</v>
      </c>
      <c r="F819" s="537">
        <f t="shared" ref="F819:F820" si="496">G819+H819</f>
        <v>0</v>
      </c>
      <c r="G819" s="538"/>
      <c r="H819" s="537"/>
      <c r="I819" s="537">
        <f t="shared" ref="I819:I820" si="497">J819+K819</f>
        <v>0</v>
      </c>
      <c r="J819" s="539">
        <f>G819*E819</f>
        <v>0</v>
      </c>
      <c r="K819" s="537"/>
      <c r="L819" s="51"/>
      <c r="N819" s="10"/>
    </row>
    <row r="820" spans="1:14" x14ac:dyDescent="0.25">
      <c r="A820" s="222">
        <v>781</v>
      </c>
      <c r="B820" s="52" t="s">
        <v>29</v>
      </c>
      <c r="C820" s="53" t="s">
        <v>1</v>
      </c>
      <c r="D820" s="54">
        <v>1.1499999999999999</v>
      </c>
      <c r="E820" s="11">
        <f>E819*D820</f>
        <v>12.08</v>
      </c>
      <c r="F820" s="11">
        <f t="shared" si="496"/>
        <v>0</v>
      </c>
      <c r="G820" s="11"/>
      <c r="H820" s="540"/>
      <c r="I820" s="11">
        <f t="shared" si="497"/>
        <v>0</v>
      </c>
      <c r="J820" s="11"/>
      <c r="K820" s="11">
        <f>H820*E820</f>
        <v>0</v>
      </c>
      <c r="L820" s="48" t="s">
        <v>15</v>
      </c>
      <c r="N820" s="10"/>
    </row>
    <row r="821" spans="1:14" ht="47.25" x14ac:dyDescent="0.25">
      <c r="A821" s="529">
        <v>782</v>
      </c>
      <c r="B821" s="49" t="s">
        <v>94</v>
      </c>
      <c r="C821" s="125" t="s">
        <v>1</v>
      </c>
      <c r="D821" s="50"/>
      <c r="E821" s="15">
        <f>Расч.!O46</f>
        <v>10.5</v>
      </c>
      <c r="F821" s="537">
        <f t="shared" ref="F821:F823" si="498">G821+H821</f>
        <v>0</v>
      </c>
      <c r="G821" s="538"/>
      <c r="H821" s="537"/>
      <c r="I821" s="537">
        <f t="shared" ref="I821:I823" si="499">J821+K821</f>
        <v>0</v>
      </c>
      <c r="J821" s="539">
        <f>G821*E821</f>
        <v>0</v>
      </c>
      <c r="K821" s="537"/>
      <c r="L821" s="51"/>
      <c r="N821" s="10"/>
    </row>
    <row r="822" spans="1:14" x14ac:dyDescent="0.25">
      <c r="A822" s="222">
        <v>783</v>
      </c>
      <c r="B822" s="55" t="s">
        <v>26</v>
      </c>
      <c r="C822" s="53" t="s">
        <v>27</v>
      </c>
      <c r="D822" s="56">
        <v>1.0149999999999999</v>
      </c>
      <c r="E822" s="11">
        <f>Расч.!T49*D822</f>
        <v>0.82</v>
      </c>
      <c r="F822" s="11">
        <f t="shared" si="498"/>
        <v>0</v>
      </c>
      <c r="G822" s="11"/>
      <c r="H822" s="540"/>
      <c r="I822" s="11">
        <f t="shared" si="499"/>
        <v>0</v>
      </c>
      <c r="J822" s="11"/>
      <c r="K822" s="11">
        <f>H822*E822</f>
        <v>0</v>
      </c>
      <c r="L822" s="48" t="s">
        <v>15</v>
      </c>
      <c r="N822" s="10"/>
    </row>
    <row r="823" spans="1:14" x14ac:dyDescent="0.25">
      <c r="A823" s="222">
        <v>784</v>
      </c>
      <c r="B823" s="55" t="s">
        <v>37</v>
      </c>
      <c r="C823" s="53" t="s">
        <v>1</v>
      </c>
      <c r="D823" s="54">
        <v>1.2</v>
      </c>
      <c r="E823" s="11">
        <f>E821*D823</f>
        <v>12.6</v>
      </c>
      <c r="F823" s="11">
        <f t="shared" si="498"/>
        <v>0</v>
      </c>
      <c r="G823" s="11"/>
      <c r="H823" s="540"/>
      <c r="I823" s="11">
        <f t="shared" si="499"/>
        <v>0</v>
      </c>
      <c r="J823" s="11"/>
      <c r="K823" s="11">
        <f>H823*E823</f>
        <v>0</v>
      </c>
      <c r="L823" s="57" t="s">
        <v>15</v>
      </c>
      <c r="N823" s="10"/>
    </row>
    <row r="824" spans="1:14" ht="33.75" customHeight="1" x14ac:dyDescent="0.25">
      <c r="A824" s="529">
        <v>785</v>
      </c>
      <c r="B824" s="66" t="s">
        <v>61</v>
      </c>
      <c r="C824" s="127" t="s">
        <v>30</v>
      </c>
      <c r="D824" s="68"/>
      <c r="E824" s="15">
        <f>Расч.!O49</f>
        <v>8.6999999999999993</v>
      </c>
      <c r="F824" s="537">
        <f t="shared" ref="F824:F825" si="500">G824+H824</f>
        <v>0</v>
      </c>
      <c r="G824" s="538"/>
      <c r="H824" s="537"/>
      <c r="I824" s="537">
        <f t="shared" ref="I824:I825" si="501">J824+K824</f>
        <v>0</v>
      </c>
      <c r="J824" s="539">
        <f>G824*E824</f>
        <v>0</v>
      </c>
      <c r="K824" s="537"/>
      <c r="L824" s="51"/>
      <c r="N824" s="10"/>
    </row>
    <row r="825" spans="1:14" x14ac:dyDescent="0.25">
      <c r="A825" s="222">
        <v>786</v>
      </c>
      <c r="B825" s="71" t="s">
        <v>26</v>
      </c>
      <c r="C825" s="63" t="s">
        <v>27</v>
      </c>
      <c r="D825" s="72">
        <v>5.0000000000000001E-3</v>
      </c>
      <c r="E825" s="11">
        <f>D825*E824</f>
        <v>0.04</v>
      </c>
      <c r="F825" s="11">
        <f t="shared" si="500"/>
        <v>0</v>
      </c>
      <c r="G825" s="11"/>
      <c r="H825" s="540"/>
      <c r="I825" s="11">
        <f t="shared" si="501"/>
        <v>0</v>
      </c>
      <c r="J825" s="11"/>
      <c r="K825" s="11">
        <f>H825*E825</f>
        <v>0</v>
      </c>
      <c r="L825" s="48" t="s">
        <v>15</v>
      </c>
      <c r="N825" s="10"/>
    </row>
    <row r="826" spans="1:14" ht="47.25" x14ac:dyDescent="0.25">
      <c r="A826" s="529">
        <v>787</v>
      </c>
      <c r="B826" s="49" t="s">
        <v>83</v>
      </c>
      <c r="C826" s="125" t="s">
        <v>1</v>
      </c>
      <c r="D826" s="50"/>
      <c r="E826" s="15">
        <f>Расч.!O46+Расч.!O49*0.3</f>
        <v>13.11</v>
      </c>
      <c r="F826" s="537">
        <f t="shared" ref="F826:F827" si="502">G826+H826</f>
        <v>0</v>
      </c>
      <c r="G826" s="538"/>
      <c r="H826" s="537"/>
      <c r="I826" s="537">
        <f t="shared" ref="I826:I827" si="503">J826+K826</f>
        <v>0</v>
      </c>
      <c r="J826" s="539">
        <f>G826*E826</f>
        <v>0</v>
      </c>
      <c r="K826" s="537"/>
      <c r="L826" s="51"/>
      <c r="N826" s="10"/>
    </row>
    <row r="827" spans="1:14" ht="31.5" x14ac:dyDescent="0.25">
      <c r="A827" s="222">
        <v>788</v>
      </c>
      <c r="B827" s="55" t="s">
        <v>84</v>
      </c>
      <c r="C827" s="53" t="s">
        <v>25</v>
      </c>
      <c r="D827" s="54">
        <v>0.35</v>
      </c>
      <c r="E827" s="11">
        <f>E826*D827</f>
        <v>4.59</v>
      </c>
      <c r="F827" s="11">
        <f t="shared" si="502"/>
        <v>0</v>
      </c>
      <c r="G827" s="11"/>
      <c r="H827" s="540"/>
      <c r="I827" s="11">
        <f t="shared" si="503"/>
        <v>0</v>
      </c>
      <c r="J827" s="11"/>
      <c r="K827" s="11">
        <f>H827*E827</f>
        <v>0</v>
      </c>
      <c r="L827" s="57" t="s">
        <v>15</v>
      </c>
      <c r="N827" s="10"/>
    </row>
    <row r="828" spans="1:14" ht="31.5" x14ac:dyDescent="0.25">
      <c r="A828" s="529">
        <v>789</v>
      </c>
      <c r="B828" s="49" t="s">
        <v>58</v>
      </c>
      <c r="C828" s="125" t="s">
        <v>1</v>
      </c>
      <c r="D828" s="50"/>
      <c r="E828" s="15">
        <f>E821</f>
        <v>10.5</v>
      </c>
      <c r="F828" s="537">
        <f t="shared" ref="F828:F831" si="504">G828+H828</f>
        <v>0</v>
      </c>
      <c r="G828" s="538"/>
      <c r="H828" s="537"/>
      <c r="I828" s="537">
        <f t="shared" ref="I828:I831" si="505">J828+K828</f>
        <v>0</v>
      </c>
      <c r="J828" s="539">
        <f>G828*E828</f>
        <v>0</v>
      </c>
      <c r="K828" s="537"/>
      <c r="L828" s="51"/>
      <c r="N828" s="10"/>
    </row>
    <row r="829" spans="1:14" x14ac:dyDescent="0.25">
      <c r="A829" s="222">
        <v>790</v>
      </c>
      <c r="B829" s="459" t="s">
        <v>68</v>
      </c>
      <c r="C829" s="440" t="s">
        <v>1</v>
      </c>
      <c r="D829" s="441">
        <v>1.1599999999999999</v>
      </c>
      <c r="E829" s="11">
        <f>E828*D829</f>
        <v>12.18</v>
      </c>
      <c r="F829" s="11">
        <f t="shared" si="504"/>
        <v>0</v>
      </c>
      <c r="G829" s="11"/>
      <c r="H829" s="540"/>
      <c r="I829" s="11">
        <f t="shared" si="505"/>
        <v>0</v>
      </c>
      <c r="J829" s="11"/>
      <c r="K829" s="11">
        <f>H829*E829</f>
        <v>0</v>
      </c>
      <c r="L829" s="57" t="s">
        <v>15</v>
      </c>
      <c r="N829" s="10"/>
    </row>
    <row r="830" spans="1:14" x14ac:dyDescent="0.25">
      <c r="A830" s="222">
        <v>791</v>
      </c>
      <c r="B830" s="459" t="s">
        <v>219</v>
      </c>
      <c r="C830" s="440" t="s">
        <v>1</v>
      </c>
      <c r="D830" s="441">
        <v>1.1399999999999999</v>
      </c>
      <c r="E830" s="11">
        <f>E828*D830</f>
        <v>11.97</v>
      </c>
      <c r="F830" s="11">
        <f t="shared" si="504"/>
        <v>0</v>
      </c>
      <c r="G830" s="11"/>
      <c r="H830" s="540"/>
      <c r="I830" s="11">
        <f t="shared" si="505"/>
        <v>0</v>
      </c>
      <c r="J830" s="11"/>
      <c r="K830" s="11">
        <f>H830*E830</f>
        <v>0</v>
      </c>
      <c r="L830" s="57" t="s">
        <v>15</v>
      </c>
      <c r="N830" s="10"/>
    </row>
    <row r="831" spans="1:14" x14ac:dyDescent="0.25">
      <c r="A831" s="222">
        <v>792</v>
      </c>
      <c r="B831" s="459" t="s">
        <v>28</v>
      </c>
      <c r="C831" s="464" t="s">
        <v>3</v>
      </c>
      <c r="D831" s="477">
        <v>0.6</v>
      </c>
      <c r="E831" s="11">
        <f>E828*D831</f>
        <v>6.3</v>
      </c>
      <c r="F831" s="11">
        <f t="shared" si="504"/>
        <v>0</v>
      </c>
      <c r="G831" s="11"/>
      <c r="H831" s="540"/>
      <c r="I831" s="11">
        <f t="shared" si="505"/>
        <v>0</v>
      </c>
      <c r="J831" s="11"/>
      <c r="K831" s="11">
        <f>H831*E831</f>
        <v>0</v>
      </c>
      <c r="L831" s="106" t="s">
        <v>15</v>
      </c>
      <c r="N831" s="10"/>
    </row>
    <row r="832" spans="1:14" ht="31.5" x14ac:dyDescent="0.25">
      <c r="A832" s="529">
        <v>793</v>
      </c>
      <c r="B832" s="49" t="s">
        <v>35</v>
      </c>
      <c r="C832" s="125" t="s">
        <v>30</v>
      </c>
      <c r="D832" s="50"/>
      <c r="E832" s="15">
        <f>E824</f>
        <v>8.6999999999999993</v>
      </c>
      <c r="F832" s="537">
        <f t="shared" ref="F832:F839" si="506">G832+H832</f>
        <v>0</v>
      </c>
      <c r="G832" s="538"/>
      <c r="H832" s="537"/>
      <c r="I832" s="537">
        <f t="shared" ref="I832:I839" si="507">J832+K832</f>
        <v>0</v>
      </c>
      <c r="J832" s="539">
        <f>G832*E832</f>
        <v>0</v>
      </c>
      <c r="K832" s="537"/>
      <c r="L832" s="51"/>
      <c r="N832" s="10"/>
    </row>
    <row r="833" spans="1:14" x14ac:dyDescent="0.25">
      <c r="A833" s="222">
        <v>794</v>
      </c>
      <c r="B833" s="459" t="s">
        <v>68</v>
      </c>
      <c r="C833" s="440" t="s">
        <v>1</v>
      </c>
      <c r="D833" s="441">
        <v>1.1599999999999999</v>
      </c>
      <c r="E833" s="11">
        <f>E832*0.5*D833</f>
        <v>5.05</v>
      </c>
      <c r="F833" s="11">
        <f t="shared" si="506"/>
        <v>0</v>
      </c>
      <c r="G833" s="11"/>
      <c r="H833" s="540"/>
      <c r="I833" s="11">
        <f t="shared" si="507"/>
        <v>0</v>
      </c>
      <c r="J833" s="11"/>
      <c r="K833" s="11">
        <f>H833*E833</f>
        <v>0</v>
      </c>
      <c r="L833" s="48" t="s">
        <v>15</v>
      </c>
      <c r="N833" s="10"/>
    </row>
    <row r="834" spans="1:14" x14ac:dyDescent="0.25">
      <c r="A834" s="222">
        <v>795</v>
      </c>
      <c r="B834" s="459" t="s">
        <v>219</v>
      </c>
      <c r="C834" s="440" t="s">
        <v>1</v>
      </c>
      <c r="D834" s="441">
        <v>1.1399999999999999</v>
      </c>
      <c r="E834" s="11">
        <f>E832*0.4*D834</f>
        <v>3.97</v>
      </c>
      <c r="F834" s="11">
        <f t="shared" si="506"/>
        <v>0</v>
      </c>
      <c r="G834" s="11"/>
      <c r="H834" s="540"/>
      <c r="I834" s="11">
        <f t="shared" si="507"/>
        <v>0</v>
      </c>
      <c r="J834" s="11"/>
      <c r="K834" s="11">
        <f>H834*E834</f>
        <v>0</v>
      </c>
      <c r="L834" s="48" t="s">
        <v>15</v>
      </c>
      <c r="N834" s="10"/>
    </row>
    <row r="835" spans="1:14" x14ac:dyDescent="0.25">
      <c r="A835" s="222">
        <v>796</v>
      </c>
      <c r="B835" s="459" t="s">
        <v>86</v>
      </c>
      <c r="C835" s="440" t="s">
        <v>1</v>
      </c>
      <c r="D835" s="441">
        <v>1.1399999999999999</v>
      </c>
      <c r="E835" s="11">
        <f>E832*0.25*D835</f>
        <v>2.48</v>
      </c>
      <c r="F835" s="11">
        <f t="shared" si="506"/>
        <v>0</v>
      </c>
      <c r="G835" s="11"/>
      <c r="H835" s="540"/>
      <c r="I835" s="11">
        <f t="shared" si="507"/>
        <v>0</v>
      </c>
      <c r="J835" s="11"/>
      <c r="K835" s="11">
        <f>H835*E835</f>
        <v>0</v>
      </c>
      <c r="L835" s="106" t="s">
        <v>15</v>
      </c>
      <c r="N835" s="10"/>
    </row>
    <row r="836" spans="1:14" x14ac:dyDescent="0.25">
      <c r="A836" s="222">
        <v>797</v>
      </c>
      <c r="B836" s="55" t="s">
        <v>28</v>
      </c>
      <c r="C836" s="47" t="s">
        <v>3</v>
      </c>
      <c r="D836" s="54">
        <v>0.6</v>
      </c>
      <c r="E836" s="11">
        <f>E832*D836</f>
        <v>5.22</v>
      </c>
      <c r="F836" s="11">
        <f t="shared" si="506"/>
        <v>0</v>
      </c>
      <c r="G836" s="11"/>
      <c r="H836" s="540"/>
      <c r="I836" s="11">
        <f t="shared" si="507"/>
        <v>0</v>
      </c>
      <c r="J836" s="11"/>
      <c r="K836" s="11">
        <f>H836*E836</f>
        <v>0</v>
      </c>
      <c r="L836" s="106" t="s">
        <v>15</v>
      </c>
      <c r="N836" s="10"/>
    </row>
    <row r="837" spans="1:14" ht="31.5" x14ac:dyDescent="0.25">
      <c r="A837" s="222">
        <v>798</v>
      </c>
      <c r="B837" s="55" t="s">
        <v>43</v>
      </c>
      <c r="C837" s="58" t="s">
        <v>2</v>
      </c>
      <c r="D837" s="54">
        <v>1.03</v>
      </c>
      <c r="E837" s="11">
        <f>E832*D837</f>
        <v>8.9600000000000009</v>
      </c>
      <c r="F837" s="11">
        <f t="shared" si="506"/>
        <v>0</v>
      </c>
      <c r="G837" s="11"/>
      <c r="H837" s="540"/>
      <c r="I837" s="11">
        <f t="shared" si="507"/>
        <v>0</v>
      </c>
      <c r="J837" s="11"/>
      <c r="K837" s="11">
        <f>H837*E837</f>
        <v>0</v>
      </c>
      <c r="L837" s="48" t="s">
        <v>15</v>
      </c>
      <c r="N837" s="10"/>
    </row>
    <row r="838" spans="1:14" x14ac:dyDescent="0.25">
      <c r="A838" s="222">
        <v>799</v>
      </c>
      <c r="B838" s="55" t="s">
        <v>31</v>
      </c>
      <c r="C838" s="59" t="s">
        <v>0</v>
      </c>
      <c r="D838" s="54">
        <v>5</v>
      </c>
      <c r="E838" s="11">
        <f>ROUND(E832*D838,0)</f>
        <v>44</v>
      </c>
      <c r="F838" s="11">
        <f t="shared" si="506"/>
        <v>0</v>
      </c>
      <c r="G838" s="11"/>
      <c r="H838" s="540"/>
      <c r="I838" s="11">
        <f t="shared" si="507"/>
        <v>0</v>
      </c>
      <c r="J838" s="11"/>
      <c r="K838" s="11">
        <f>H838*E838</f>
        <v>0</v>
      </c>
      <c r="L838" s="48" t="s">
        <v>15</v>
      </c>
      <c r="N838" s="10"/>
    </row>
    <row r="839" spans="1:14" ht="31.5" x14ac:dyDescent="0.25">
      <c r="A839" s="222">
        <v>800</v>
      </c>
      <c r="B839" s="55" t="s">
        <v>69</v>
      </c>
      <c r="C839" s="60" t="s">
        <v>0</v>
      </c>
      <c r="D839" s="54">
        <v>0.15</v>
      </c>
      <c r="E839" s="11">
        <f>ROUND(E832*D839,0)</f>
        <v>1</v>
      </c>
      <c r="F839" s="11">
        <f t="shared" si="506"/>
        <v>0</v>
      </c>
      <c r="G839" s="11"/>
      <c r="H839" s="540"/>
      <c r="I839" s="11">
        <f t="shared" si="507"/>
        <v>0</v>
      </c>
      <c r="J839" s="11"/>
      <c r="K839" s="11">
        <f>H839*E839</f>
        <v>0</v>
      </c>
      <c r="L839" s="48" t="s">
        <v>15</v>
      </c>
      <c r="N839" s="10"/>
    </row>
    <row r="840" spans="1:14" x14ac:dyDescent="0.25">
      <c r="A840" s="529">
        <v>801</v>
      </c>
      <c r="B840" s="49" t="s">
        <v>59</v>
      </c>
      <c r="C840" s="125" t="s">
        <v>30</v>
      </c>
      <c r="D840" s="50"/>
      <c r="E840" s="15">
        <f>Расч.!S173</f>
        <v>7.3</v>
      </c>
      <c r="F840" s="537">
        <f t="shared" ref="F840:F844" si="508">G840+H840</f>
        <v>0</v>
      </c>
      <c r="G840" s="538"/>
      <c r="H840" s="537"/>
      <c r="I840" s="537">
        <f t="shared" ref="I840:I844" si="509">J840+K840</f>
        <v>0</v>
      </c>
      <c r="J840" s="539">
        <f>G840*E840</f>
        <v>0</v>
      </c>
      <c r="K840" s="537"/>
      <c r="L840" s="51"/>
      <c r="N840" s="10"/>
    </row>
    <row r="841" spans="1:14" x14ac:dyDescent="0.25">
      <c r="A841" s="222">
        <v>802</v>
      </c>
      <c r="B841" s="55" t="s">
        <v>31</v>
      </c>
      <c r="C841" s="54" t="s">
        <v>0</v>
      </c>
      <c r="D841" s="54">
        <v>5</v>
      </c>
      <c r="E841" s="61">
        <f>ROUND(E840*D841,0)</f>
        <v>37</v>
      </c>
      <c r="F841" s="11">
        <f t="shared" si="508"/>
        <v>0</v>
      </c>
      <c r="G841" s="11"/>
      <c r="H841" s="540"/>
      <c r="I841" s="11">
        <f t="shared" si="509"/>
        <v>0</v>
      </c>
      <c r="J841" s="11"/>
      <c r="K841" s="11">
        <f>H841*E841</f>
        <v>0</v>
      </c>
      <c r="L841" s="48" t="s">
        <v>15</v>
      </c>
      <c r="N841" s="10"/>
    </row>
    <row r="842" spans="1:14" ht="47.25" x14ac:dyDescent="0.25">
      <c r="A842" s="222">
        <v>803</v>
      </c>
      <c r="B842" s="55" t="s">
        <v>141</v>
      </c>
      <c r="C842" s="53" t="s">
        <v>258</v>
      </c>
      <c r="D842" s="54">
        <v>1.1000000000000001</v>
      </c>
      <c r="E842" s="11">
        <f>E840*D842</f>
        <v>8.0299999999999994</v>
      </c>
      <c r="F842" s="11">
        <f t="shared" si="508"/>
        <v>0</v>
      </c>
      <c r="G842" s="11"/>
      <c r="H842" s="540"/>
      <c r="I842" s="11">
        <f t="shared" si="509"/>
        <v>0</v>
      </c>
      <c r="J842" s="11"/>
      <c r="K842" s="11">
        <f>H842*E842</f>
        <v>0</v>
      </c>
      <c r="L842" s="48" t="s">
        <v>15</v>
      </c>
      <c r="N842" s="10"/>
    </row>
    <row r="843" spans="1:14" x14ac:dyDescent="0.25">
      <c r="A843" s="222">
        <v>804</v>
      </c>
      <c r="B843" s="55" t="s">
        <v>34</v>
      </c>
      <c r="C843" s="53" t="s">
        <v>0</v>
      </c>
      <c r="D843" s="54">
        <v>1.66</v>
      </c>
      <c r="E843" s="11">
        <f>ROUND(D843*E840,0)</f>
        <v>12</v>
      </c>
      <c r="F843" s="11">
        <f t="shared" si="508"/>
        <v>0</v>
      </c>
      <c r="G843" s="11"/>
      <c r="H843" s="540"/>
      <c r="I843" s="11">
        <f t="shared" si="509"/>
        <v>0</v>
      </c>
      <c r="J843" s="11"/>
      <c r="K843" s="11">
        <f>H843*E843</f>
        <v>0</v>
      </c>
      <c r="L843" s="48" t="s">
        <v>15</v>
      </c>
      <c r="N843" s="10"/>
    </row>
    <row r="844" spans="1:14" x14ac:dyDescent="0.25">
      <c r="A844" s="222">
        <v>805</v>
      </c>
      <c r="B844" s="55" t="s">
        <v>26</v>
      </c>
      <c r="C844" s="53" t="s">
        <v>27</v>
      </c>
      <c r="D844" s="56">
        <v>1.0149999999999999</v>
      </c>
      <c r="E844" s="11">
        <f>E840*0.12*0.05*D844</f>
        <v>0.04</v>
      </c>
      <c r="F844" s="11">
        <f t="shared" si="508"/>
        <v>0</v>
      </c>
      <c r="G844" s="11"/>
      <c r="H844" s="540"/>
      <c r="I844" s="11">
        <f t="shared" si="509"/>
        <v>0</v>
      </c>
      <c r="J844" s="11"/>
      <c r="K844" s="11">
        <f>H844*E844</f>
        <v>0</v>
      </c>
      <c r="L844" s="48" t="s">
        <v>15</v>
      </c>
      <c r="N844" s="10"/>
    </row>
    <row r="845" spans="1:14" x14ac:dyDescent="0.25">
      <c r="A845" s="529">
        <v>806</v>
      </c>
      <c r="B845" s="466" t="s">
        <v>64</v>
      </c>
      <c r="C845" s="456" t="s">
        <v>30</v>
      </c>
      <c r="D845" s="457"/>
      <c r="E845" s="15">
        <f>Расч.!S172</f>
        <v>14.7</v>
      </c>
      <c r="F845" s="537">
        <f t="shared" ref="F845:F847" si="510">G845+H845</f>
        <v>0</v>
      </c>
      <c r="G845" s="538"/>
      <c r="H845" s="537"/>
      <c r="I845" s="537">
        <f t="shared" ref="I845:I847" si="511">J845+K845</f>
        <v>0</v>
      </c>
      <c r="J845" s="539">
        <f>G845*E845</f>
        <v>0</v>
      </c>
      <c r="K845" s="537"/>
      <c r="L845" s="458"/>
      <c r="N845" s="10"/>
    </row>
    <row r="846" spans="1:14" ht="31.5" customHeight="1" x14ac:dyDescent="0.25">
      <c r="A846" s="222">
        <v>807</v>
      </c>
      <c r="B846" s="459" t="s">
        <v>233</v>
      </c>
      <c r="C846" s="440" t="s">
        <v>2</v>
      </c>
      <c r="D846" s="441">
        <v>1.1000000000000001</v>
      </c>
      <c r="E846" s="11">
        <f>E845*D846</f>
        <v>16.170000000000002</v>
      </c>
      <c r="F846" s="11">
        <f t="shared" si="510"/>
        <v>0</v>
      </c>
      <c r="G846" s="11"/>
      <c r="H846" s="540"/>
      <c r="I846" s="11">
        <f t="shared" si="511"/>
        <v>0</v>
      </c>
      <c r="J846" s="11"/>
      <c r="K846" s="11">
        <f>H846*E846</f>
        <v>0</v>
      </c>
      <c r="L846" s="468" t="s">
        <v>144</v>
      </c>
      <c r="N846" s="10"/>
    </row>
    <row r="847" spans="1:14" ht="16.5" customHeight="1" x14ac:dyDescent="0.25">
      <c r="A847" s="222">
        <v>808</v>
      </c>
      <c r="B847" s="459" t="s">
        <v>31</v>
      </c>
      <c r="C847" s="478" t="s">
        <v>0</v>
      </c>
      <c r="D847" s="441">
        <v>5</v>
      </c>
      <c r="E847" s="11">
        <f>ROUND(D847*E845,0)</f>
        <v>74</v>
      </c>
      <c r="F847" s="11">
        <f t="shared" si="510"/>
        <v>0</v>
      </c>
      <c r="G847" s="11"/>
      <c r="H847" s="540"/>
      <c r="I847" s="11">
        <f t="shared" si="511"/>
        <v>0</v>
      </c>
      <c r="J847" s="11"/>
      <c r="K847" s="11">
        <f>H847*E847</f>
        <v>0</v>
      </c>
      <c r="L847" s="449" t="s">
        <v>15</v>
      </c>
      <c r="N847" s="10"/>
    </row>
    <row r="848" spans="1:14" ht="19.5" customHeight="1" x14ac:dyDescent="0.25">
      <c r="A848" s="529">
        <v>809</v>
      </c>
      <c r="B848" s="466" t="s">
        <v>241</v>
      </c>
      <c r="C848" s="456" t="s">
        <v>30</v>
      </c>
      <c r="D848" s="457"/>
      <c r="E848" s="15">
        <f>Расч.!V173</f>
        <v>0.7</v>
      </c>
      <c r="F848" s="537">
        <f t="shared" ref="F848:F850" si="512">G848+H848</f>
        <v>0</v>
      </c>
      <c r="G848" s="538"/>
      <c r="H848" s="537"/>
      <c r="I848" s="537">
        <f t="shared" ref="I848:I851" si="513">J848+K848</f>
        <v>0</v>
      </c>
      <c r="J848" s="539">
        <f>G848*E848</f>
        <v>0</v>
      </c>
      <c r="K848" s="537"/>
      <c r="L848" s="458"/>
      <c r="N848" s="10"/>
    </row>
    <row r="849" spans="1:14" ht="30" customHeight="1" x14ac:dyDescent="0.25">
      <c r="A849" s="222">
        <v>810</v>
      </c>
      <c r="B849" s="459" t="s">
        <v>250</v>
      </c>
      <c r="C849" s="440" t="s">
        <v>2</v>
      </c>
      <c r="D849" s="441">
        <v>1.1000000000000001</v>
      </c>
      <c r="E849" s="302">
        <f>E848*D849</f>
        <v>0.77</v>
      </c>
      <c r="F849" s="11">
        <f t="shared" si="512"/>
        <v>0</v>
      </c>
      <c r="G849" s="11"/>
      <c r="H849" s="540"/>
      <c r="I849" s="11">
        <f t="shared" si="513"/>
        <v>0</v>
      </c>
      <c r="J849" s="11"/>
      <c r="K849" s="11">
        <f>H849*E849</f>
        <v>0</v>
      </c>
      <c r="L849" s="449" t="s">
        <v>15</v>
      </c>
      <c r="N849" s="10"/>
    </row>
    <row r="850" spans="1:14" x14ac:dyDescent="0.25">
      <c r="A850" s="222">
        <v>811</v>
      </c>
      <c r="B850" s="459" t="s">
        <v>31</v>
      </c>
      <c r="C850" s="478" t="s">
        <v>0</v>
      </c>
      <c r="D850" s="441">
        <v>5</v>
      </c>
      <c r="E850" s="443">
        <f>ROUND(E848*D850,0)</f>
        <v>4</v>
      </c>
      <c r="F850" s="11">
        <f t="shared" si="512"/>
        <v>0</v>
      </c>
      <c r="G850" s="11"/>
      <c r="H850" s="540"/>
      <c r="I850" s="11">
        <f t="shared" si="513"/>
        <v>0</v>
      </c>
      <c r="J850" s="11"/>
      <c r="K850" s="11">
        <f>H850*E850</f>
        <v>0</v>
      </c>
      <c r="L850" s="449" t="s">
        <v>15</v>
      </c>
      <c r="N850" s="10"/>
    </row>
    <row r="851" spans="1:14" customFormat="1" x14ac:dyDescent="0.25">
      <c r="A851" s="541" t="s">
        <v>260</v>
      </c>
      <c r="B851" s="542"/>
      <c r="C851" s="542"/>
      <c r="D851" s="542"/>
      <c r="E851" s="543"/>
      <c r="F851" s="544"/>
      <c r="G851" s="544"/>
      <c r="H851" s="545"/>
      <c r="I851" s="546">
        <f t="shared" si="513"/>
        <v>0</v>
      </c>
      <c r="J851" s="546">
        <f>SUM(J10:J850)</f>
        <v>0</v>
      </c>
      <c r="K851" s="546">
        <f>SUM(K10:K850)</f>
        <v>0</v>
      </c>
      <c r="L851" s="547"/>
    </row>
    <row r="852" spans="1:14" customFormat="1" x14ac:dyDescent="0.25">
      <c r="A852" s="548"/>
      <c r="B852" s="549" t="s">
        <v>16</v>
      </c>
      <c r="C852" s="550"/>
      <c r="D852" s="551"/>
      <c r="E852" s="552"/>
      <c r="F852" s="553"/>
      <c r="G852" s="554"/>
      <c r="H852" s="554"/>
      <c r="I852" s="553"/>
      <c r="J852" s="554"/>
      <c r="K852" s="554"/>
      <c r="L852" s="555"/>
    </row>
    <row r="853" spans="1:14" customFormat="1" x14ac:dyDescent="0.25">
      <c r="A853" s="556"/>
      <c r="B853" s="557" t="s">
        <v>261</v>
      </c>
      <c r="C853" s="558"/>
      <c r="D853" s="559"/>
      <c r="E853" s="560"/>
      <c r="F853" s="546"/>
      <c r="G853" s="561"/>
      <c r="H853" s="561"/>
      <c r="I853" s="546"/>
      <c r="J853" s="561"/>
      <c r="K853" s="561"/>
      <c r="L853" s="562"/>
    </row>
    <row r="854" spans="1:14" customFormat="1" ht="63" x14ac:dyDescent="0.25">
      <c r="A854" s="556"/>
      <c r="B854" s="563" t="s">
        <v>17</v>
      </c>
      <c r="C854" s="558"/>
      <c r="D854" s="559"/>
      <c r="E854" s="564"/>
      <c r="F854" s="546"/>
      <c r="G854" s="561"/>
      <c r="H854" s="561"/>
      <c r="I854" s="546"/>
      <c r="J854" s="561"/>
      <c r="K854" s="561"/>
      <c r="L854" s="562"/>
    </row>
    <row r="855" spans="1:14" customFormat="1" x14ac:dyDescent="0.25">
      <c r="A855" s="541" t="s">
        <v>262</v>
      </c>
      <c r="B855" s="542"/>
      <c r="C855" s="542"/>
      <c r="D855" s="542"/>
      <c r="E855" s="543"/>
      <c r="F855" s="546"/>
      <c r="G855" s="561"/>
      <c r="H855" s="561"/>
      <c r="I855" s="546">
        <f>J855+K855</f>
        <v>0</v>
      </c>
      <c r="J855" s="546">
        <f>J851</f>
        <v>0</v>
      </c>
      <c r="K855" s="546">
        <f>K851+K853+K854</f>
        <v>0</v>
      </c>
      <c r="L855" s="562"/>
    </row>
    <row r="856" spans="1:14" customFormat="1" x14ac:dyDescent="0.25">
      <c r="A856" s="541" t="s">
        <v>263</v>
      </c>
      <c r="B856" s="542"/>
      <c r="C856" s="542"/>
      <c r="D856" s="542"/>
      <c r="E856" s="543"/>
      <c r="F856" s="546"/>
      <c r="G856" s="561"/>
      <c r="H856" s="561"/>
      <c r="I856" s="546">
        <f>I857-I855</f>
        <v>0</v>
      </c>
      <c r="J856" s="546"/>
      <c r="K856" s="546"/>
      <c r="L856" s="562"/>
    </row>
    <row r="857" spans="1:14" customFormat="1" x14ac:dyDescent="0.25">
      <c r="A857" s="541" t="s">
        <v>264</v>
      </c>
      <c r="B857" s="542"/>
      <c r="C857" s="542"/>
      <c r="D857" s="542"/>
      <c r="E857" s="543"/>
      <c r="F857" s="546"/>
      <c r="G857" s="561"/>
      <c r="H857" s="561"/>
      <c r="I857" s="546">
        <f>I855*1.22</f>
        <v>0</v>
      </c>
      <c r="J857" s="561"/>
      <c r="K857" s="561"/>
      <c r="L857" s="562"/>
    </row>
    <row r="858" spans="1:14" customFormat="1" x14ac:dyDescent="0.25">
      <c r="A858" s="565"/>
      <c r="B858" s="565"/>
      <c r="C858" s="565"/>
      <c r="D858" s="565"/>
      <c r="E858" s="565"/>
      <c r="F858" s="565"/>
      <c r="G858" s="565"/>
      <c r="H858" s="565"/>
      <c r="I858" s="565"/>
      <c r="J858" s="565"/>
      <c r="K858" s="565"/>
      <c r="L858" s="565"/>
    </row>
    <row r="859" spans="1:14" customFormat="1" x14ac:dyDescent="0.25">
      <c r="A859" s="565"/>
      <c r="B859" s="12" t="s">
        <v>38</v>
      </c>
      <c r="C859" s="565"/>
      <c r="D859" s="565"/>
      <c r="E859" s="565"/>
      <c r="F859" s="565"/>
      <c r="G859" s="565"/>
      <c r="H859" s="565"/>
      <c r="I859" s="565"/>
      <c r="J859" s="565"/>
      <c r="K859" s="565"/>
      <c r="L859" s="565"/>
    </row>
    <row r="860" spans="1:14" customFormat="1" x14ac:dyDescent="0.25">
      <c r="A860" s="565"/>
      <c r="B860" s="12" t="s">
        <v>39</v>
      </c>
      <c r="C860" s="565"/>
      <c r="D860" s="565"/>
      <c r="E860" s="565"/>
      <c r="F860" s="565"/>
      <c r="G860" s="565"/>
      <c r="H860" s="565"/>
      <c r="I860" s="565"/>
      <c r="J860" s="565"/>
      <c r="K860" s="565"/>
      <c r="L860" s="565"/>
    </row>
    <row r="861" spans="1:14" customFormat="1" x14ac:dyDescent="0.25">
      <c r="A861" s="565"/>
      <c r="B861" s="565"/>
      <c r="C861" s="565"/>
      <c r="D861" s="565"/>
      <c r="E861" s="565"/>
      <c r="F861" s="565"/>
      <c r="G861" s="565"/>
      <c r="H861" s="565"/>
      <c r="I861" s="565"/>
      <c r="J861" s="565"/>
      <c r="K861" s="565"/>
      <c r="L861" s="565"/>
    </row>
    <row r="862" spans="1:14" customFormat="1" x14ac:dyDescent="0.25">
      <c r="A862" s="566"/>
      <c r="B862" s="567" t="s">
        <v>265</v>
      </c>
      <c r="C862" s="568"/>
      <c r="D862" s="568"/>
      <c r="E862" s="568"/>
      <c r="F862" s="569"/>
      <c r="G862" s="570" t="s">
        <v>266</v>
      </c>
      <c r="H862" s="571"/>
      <c r="I862" s="571"/>
      <c r="J862" s="571"/>
      <c r="K862" s="572"/>
      <c r="L862" s="565"/>
    </row>
    <row r="863" spans="1:14" customFormat="1" x14ac:dyDescent="0.25">
      <c r="A863" s="566"/>
      <c r="B863" s="573" t="s">
        <v>267</v>
      </c>
      <c r="C863" s="574"/>
      <c r="D863" s="574"/>
      <c r="E863" s="574"/>
      <c r="F863" s="575"/>
      <c r="G863" s="576" t="s">
        <v>268</v>
      </c>
      <c r="H863" s="577"/>
      <c r="I863" s="577"/>
      <c r="J863" s="577"/>
      <c r="K863" s="578"/>
      <c r="L863" s="579"/>
    </row>
    <row r="864" spans="1:14" customFormat="1" x14ac:dyDescent="0.25">
      <c r="A864" s="566"/>
      <c r="B864" s="580" t="s">
        <v>269</v>
      </c>
      <c r="C864" s="581"/>
      <c r="D864" s="581"/>
      <c r="E864" s="581"/>
      <c r="F864" s="582"/>
      <c r="G864" s="576" t="s">
        <v>268</v>
      </c>
      <c r="H864" s="577"/>
      <c r="I864" s="577"/>
      <c r="J864" s="577"/>
      <c r="K864" s="578"/>
      <c r="L864" s="583"/>
    </row>
    <row r="865" spans="1:12" customFormat="1" x14ac:dyDescent="0.25">
      <c r="A865" s="566"/>
      <c r="B865" s="580" t="s">
        <v>270</v>
      </c>
      <c r="C865" s="581"/>
      <c r="D865" s="581"/>
      <c r="E865" s="581"/>
      <c r="F865" s="582"/>
      <c r="G865" s="576" t="s">
        <v>268</v>
      </c>
      <c r="H865" s="577"/>
      <c r="I865" s="577"/>
      <c r="J865" s="577"/>
      <c r="K865" s="578"/>
      <c r="L865" s="579"/>
    </row>
    <row r="866" spans="1:12" customFormat="1" x14ac:dyDescent="0.25">
      <c r="A866" s="566"/>
      <c r="B866" s="580" t="s">
        <v>18</v>
      </c>
      <c r="C866" s="581"/>
      <c r="D866" s="581"/>
      <c r="E866" s="581"/>
      <c r="F866" s="582"/>
      <c r="G866" s="584" t="s">
        <v>19</v>
      </c>
      <c r="H866" s="585"/>
      <c r="I866" s="585"/>
      <c r="J866" s="585"/>
      <c r="K866" s="586"/>
      <c r="L866" s="579"/>
    </row>
    <row r="867" spans="1:12" customFormat="1" x14ac:dyDescent="0.25">
      <c r="A867" s="566"/>
      <c r="B867" s="580" t="s">
        <v>271</v>
      </c>
      <c r="C867" s="581"/>
      <c r="D867" s="581"/>
      <c r="E867" s="581"/>
      <c r="F867" s="582"/>
      <c r="G867" s="584" t="s">
        <v>19</v>
      </c>
      <c r="H867" s="585"/>
      <c r="I867" s="585"/>
      <c r="J867" s="585"/>
      <c r="K867" s="586"/>
      <c r="L867" s="579"/>
    </row>
    <row r="868" spans="1:12" customFormat="1" x14ac:dyDescent="0.25">
      <c r="A868" s="566"/>
      <c r="B868" s="580" t="s">
        <v>20</v>
      </c>
      <c r="C868" s="581"/>
      <c r="D868" s="581"/>
      <c r="E868" s="581"/>
      <c r="F868" s="582"/>
      <c r="G868" s="584" t="s">
        <v>19</v>
      </c>
      <c r="H868" s="585"/>
      <c r="I868" s="585"/>
      <c r="J868" s="585"/>
      <c r="K868" s="586"/>
      <c r="L868" s="579"/>
    </row>
    <row r="869" spans="1:12" customFormat="1" x14ac:dyDescent="0.25">
      <c r="A869" s="566"/>
      <c r="B869" s="580" t="s">
        <v>21</v>
      </c>
      <c r="C869" s="581"/>
      <c r="D869" s="581"/>
      <c r="E869" s="581"/>
      <c r="F869" s="582"/>
      <c r="G869" s="584" t="s">
        <v>22</v>
      </c>
      <c r="H869" s="585"/>
      <c r="I869" s="585"/>
      <c r="J869" s="585"/>
      <c r="K869" s="586"/>
      <c r="L869" s="579"/>
    </row>
    <row r="870" spans="1:12" customFormat="1" x14ac:dyDescent="0.25">
      <c r="A870" s="566"/>
      <c r="B870" s="580" t="s">
        <v>23</v>
      </c>
      <c r="C870" s="581"/>
      <c r="D870" s="581"/>
      <c r="E870" s="581"/>
      <c r="F870" s="582"/>
      <c r="G870" s="576" t="s">
        <v>268</v>
      </c>
      <c r="H870" s="577"/>
      <c r="I870" s="577"/>
      <c r="J870" s="577"/>
      <c r="K870" s="578"/>
      <c r="L870" s="579"/>
    </row>
    <row r="871" spans="1:12" customFormat="1" x14ac:dyDescent="0.25">
      <c r="A871" s="566"/>
      <c r="B871" s="580" t="s">
        <v>272</v>
      </c>
      <c r="C871" s="581"/>
      <c r="D871" s="581"/>
      <c r="E871" s="581"/>
      <c r="F871" s="582"/>
      <c r="G871" s="584" t="s">
        <v>22</v>
      </c>
      <c r="H871" s="585"/>
      <c r="I871" s="585"/>
      <c r="J871" s="585"/>
      <c r="K871" s="586"/>
      <c r="L871" s="579"/>
    </row>
    <row r="872" spans="1:12" customFormat="1" x14ac:dyDescent="0.25">
      <c r="A872" s="566"/>
      <c r="B872" s="587" t="s">
        <v>273</v>
      </c>
      <c r="C872" s="588"/>
      <c r="D872" s="588"/>
      <c r="E872" s="588"/>
      <c r="F872" s="589"/>
      <c r="G872" s="584" t="s">
        <v>22</v>
      </c>
      <c r="H872" s="585"/>
      <c r="I872" s="585"/>
      <c r="J872" s="585"/>
      <c r="K872" s="586"/>
      <c r="L872" s="579"/>
    </row>
    <row r="873" spans="1:12" customFormat="1" x14ac:dyDescent="0.25">
      <c r="A873" s="566"/>
      <c r="B873" s="587" t="s">
        <v>274</v>
      </c>
      <c r="C873" s="588"/>
      <c r="D873" s="588"/>
      <c r="E873" s="588"/>
      <c r="F873" s="589"/>
      <c r="G873" s="584" t="s">
        <v>22</v>
      </c>
      <c r="H873" s="585"/>
      <c r="I873" s="585"/>
      <c r="J873" s="585"/>
      <c r="K873" s="586"/>
      <c r="L873" s="579"/>
    </row>
    <row r="874" spans="1:12" customFormat="1" x14ac:dyDescent="0.25">
      <c r="A874" s="566"/>
      <c r="B874" s="587" t="s">
        <v>275</v>
      </c>
      <c r="C874" s="588"/>
      <c r="D874" s="588"/>
      <c r="E874" s="588"/>
      <c r="F874" s="589"/>
      <c r="G874" s="584" t="s">
        <v>276</v>
      </c>
      <c r="H874" s="585"/>
      <c r="I874" s="585"/>
      <c r="J874" s="585"/>
      <c r="K874" s="586"/>
      <c r="L874" s="579"/>
    </row>
    <row r="875" spans="1:12" customFormat="1" x14ac:dyDescent="0.25">
      <c r="A875" s="566"/>
      <c r="B875" s="587" t="s">
        <v>277</v>
      </c>
      <c r="C875" s="588"/>
      <c r="D875" s="588"/>
      <c r="E875" s="588"/>
      <c r="F875" s="589"/>
      <c r="G875" s="584" t="s">
        <v>22</v>
      </c>
      <c r="H875" s="585"/>
      <c r="I875" s="585"/>
      <c r="J875" s="585"/>
      <c r="K875" s="586"/>
      <c r="L875" s="579"/>
    </row>
    <row r="876" spans="1:12" customFormat="1" x14ac:dyDescent="0.25">
      <c r="A876" s="566"/>
      <c r="B876" s="587" t="s">
        <v>278</v>
      </c>
      <c r="C876" s="588"/>
      <c r="D876" s="588"/>
      <c r="E876" s="588"/>
      <c r="F876" s="589"/>
      <c r="G876" s="590" t="s">
        <v>279</v>
      </c>
      <c r="H876" s="591" t="s">
        <v>280</v>
      </c>
      <c r="I876" s="591"/>
      <c r="J876" s="591"/>
      <c r="K876" s="592"/>
      <c r="L876" s="579"/>
    </row>
    <row r="877" spans="1:12" customFormat="1" x14ac:dyDescent="0.25">
      <c r="A877" s="566"/>
      <c r="B877" s="587" t="s">
        <v>281</v>
      </c>
      <c r="C877" s="588"/>
      <c r="D877" s="588"/>
      <c r="E877" s="588"/>
      <c r="F877" s="589"/>
      <c r="G877" s="584"/>
      <c r="H877" s="585"/>
      <c r="I877" s="585"/>
      <c r="J877" s="585"/>
      <c r="K877" s="586"/>
      <c r="L877" s="579"/>
    </row>
  </sheetData>
  <autoFilter ref="A7:L857" xr:uid="{66008CA4-A0F2-4BAB-AD12-DC62BA92BF95}"/>
  <mergeCells count="51">
    <mergeCell ref="B877:F877"/>
    <mergeCell ref="G877:K877"/>
    <mergeCell ref="B874:F874"/>
    <mergeCell ref="G874:K874"/>
    <mergeCell ref="B875:F875"/>
    <mergeCell ref="G875:K875"/>
    <mergeCell ref="B876:F876"/>
    <mergeCell ref="G876:K876"/>
    <mergeCell ref="G871:K871"/>
    <mergeCell ref="B872:F872"/>
    <mergeCell ref="G872:K872"/>
    <mergeCell ref="B873:F873"/>
    <mergeCell ref="G873:K873"/>
    <mergeCell ref="G862:K862"/>
    <mergeCell ref="G863:K863"/>
    <mergeCell ref="G864:K864"/>
    <mergeCell ref="G865:K865"/>
    <mergeCell ref="G866:K866"/>
    <mergeCell ref="A851:E851"/>
    <mergeCell ref="A855:E855"/>
    <mergeCell ref="A856:E856"/>
    <mergeCell ref="A857:E857"/>
    <mergeCell ref="B862:F862"/>
    <mergeCell ref="A1:L1"/>
    <mergeCell ref="A2:L2"/>
    <mergeCell ref="A3:L3"/>
    <mergeCell ref="A4:A6"/>
    <mergeCell ref="B4:B6"/>
    <mergeCell ref="C4:C6"/>
    <mergeCell ref="D4:D6"/>
    <mergeCell ref="E4:E6"/>
    <mergeCell ref="F4:H4"/>
    <mergeCell ref="I4:K4"/>
    <mergeCell ref="L4:L6"/>
    <mergeCell ref="F5:F6"/>
    <mergeCell ref="G5:H5"/>
    <mergeCell ref="I5:I6"/>
    <mergeCell ref="J5:K5"/>
    <mergeCell ref="B865:F865"/>
    <mergeCell ref="B863:F863"/>
    <mergeCell ref="B864:F864"/>
    <mergeCell ref="B866:F866"/>
    <mergeCell ref="B867:F867"/>
    <mergeCell ref="B871:F871"/>
    <mergeCell ref="B868:F868"/>
    <mergeCell ref="B869:F869"/>
    <mergeCell ref="B870:F870"/>
    <mergeCell ref="G867:K867"/>
    <mergeCell ref="G868:K868"/>
    <mergeCell ref="G869:K869"/>
    <mergeCell ref="G870:K870"/>
  </mergeCells>
  <phoneticPr fontId="29" type="noConversion"/>
  <pageMargins left="0.31496062992125984" right="0.31496062992125984" top="0.35433070866141736" bottom="0.35433070866141736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L194"/>
  <sheetViews>
    <sheetView zoomScale="140" zoomScaleNormal="140" workbookViewId="0">
      <selection activeCell="K190" sqref="K190"/>
    </sheetView>
  </sheetViews>
  <sheetFormatPr defaultRowHeight="15" x14ac:dyDescent="0.25"/>
  <cols>
    <col min="1" max="1" width="4.7109375" customWidth="1"/>
    <col min="3" max="3" width="15.42578125" style="1" customWidth="1"/>
    <col min="4" max="4" width="9.140625" style="1"/>
    <col min="5" max="5" width="23.7109375" style="1" customWidth="1"/>
    <col min="6" max="6" width="8.85546875" style="1" customWidth="1"/>
    <col min="7" max="7" width="11.7109375" style="1" customWidth="1"/>
    <col min="8" max="8" width="16.85546875" style="1" customWidth="1"/>
    <col min="9" max="9" width="12.5703125" style="1" bestFit="1" customWidth="1"/>
    <col min="10" max="12" width="9.140625" style="1"/>
    <col min="13" max="13" width="13.28515625" style="1" customWidth="1"/>
    <col min="15" max="15" width="15.85546875" customWidth="1"/>
    <col min="18" max="18" width="17.5703125" customWidth="1"/>
    <col min="20" max="20" width="9.42578125" customWidth="1"/>
    <col min="21" max="21" width="9.85546875" customWidth="1"/>
    <col min="22" max="22" width="7.42578125" customWidth="1"/>
    <col min="23" max="23" width="13.5703125" customWidth="1"/>
    <col min="24" max="24" width="10.140625" customWidth="1"/>
    <col min="25" max="25" width="16.85546875" customWidth="1"/>
    <col min="26" max="26" width="7.140625" customWidth="1"/>
    <col min="27" max="27" width="7.7109375" customWidth="1"/>
    <col min="28" max="28" width="17.7109375" customWidth="1"/>
    <col min="29" max="32" width="9.5703125" bestFit="1" customWidth="1"/>
    <col min="33" max="37" width="9.5703125" customWidth="1"/>
  </cols>
  <sheetData>
    <row r="3" spans="2:38" ht="45" customHeight="1" x14ac:dyDescent="0.25">
      <c r="B3" s="523" t="s">
        <v>92</v>
      </c>
      <c r="C3" s="165" t="s">
        <v>40</v>
      </c>
      <c r="D3" s="260" t="s">
        <v>80</v>
      </c>
      <c r="E3" s="165" t="s">
        <v>41</v>
      </c>
      <c r="F3" s="360"/>
      <c r="G3" s="523" t="s">
        <v>93</v>
      </c>
      <c r="H3" s="155" t="s">
        <v>45</v>
      </c>
      <c r="I3" s="156" t="s">
        <v>46</v>
      </c>
      <c r="J3" s="524" t="s">
        <v>51</v>
      </c>
      <c r="K3" s="360"/>
      <c r="L3" s="523" t="s">
        <v>199</v>
      </c>
      <c r="M3" s="359" t="s">
        <v>40</v>
      </c>
      <c r="N3" s="158" t="s">
        <v>97</v>
      </c>
      <c r="O3" s="359" t="s">
        <v>41</v>
      </c>
      <c r="P3" s="360"/>
      <c r="Q3" s="523" t="s">
        <v>200</v>
      </c>
      <c r="R3" s="155" t="s">
        <v>45</v>
      </c>
      <c r="S3" s="156" t="s">
        <v>46</v>
      </c>
      <c r="T3" s="524" t="s">
        <v>51</v>
      </c>
      <c r="U3" s="157"/>
      <c r="V3" s="157"/>
      <c r="W3" s="157"/>
      <c r="X3" s="157"/>
      <c r="Y3" s="157"/>
      <c r="Z3" s="157"/>
      <c r="AA3" s="157"/>
      <c r="AB3" s="157"/>
      <c r="AC3" s="157"/>
      <c r="AD3" s="157"/>
    </row>
    <row r="4" spans="2:38" x14ac:dyDescent="0.25">
      <c r="B4" s="523"/>
      <c r="C4" s="261">
        <v>385.5</v>
      </c>
      <c r="D4" s="262">
        <v>10.3</v>
      </c>
      <c r="E4" s="119">
        <f>C4-D4</f>
        <v>375.2</v>
      </c>
      <c r="F4" s="360"/>
      <c r="G4" s="523"/>
      <c r="H4" s="155" t="s">
        <v>48</v>
      </c>
      <c r="I4" s="156">
        <f>0.05</f>
        <v>0.05</v>
      </c>
      <c r="J4" s="525"/>
      <c r="K4" s="360"/>
      <c r="L4" s="523"/>
      <c r="M4" s="159">
        <v>11.03</v>
      </c>
      <c r="N4" s="218">
        <v>0</v>
      </c>
      <c r="O4" s="130">
        <f>M4-N4</f>
        <v>11.03</v>
      </c>
      <c r="P4" s="360"/>
      <c r="Q4" s="523"/>
      <c r="R4" s="155" t="s">
        <v>48</v>
      </c>
      <c r="S4" s="156">
        <f>0.05</f>
        <v>0.05</v>
      </c>
      <c r="T4" s="525"/>
      <c r="U4" s="157"/>
      <c r="V4" s="157"/>
      <c r="W4" s="157"/>
      <c r="X4" s="157"/>
      <c r="Y4" s="157"/>
      <c r="Z4" s="157"/>
      <c r="AA4" s="157"/>
      <c r="AB4" s="157"/>
      <c r="AC4" s="157"/>
      <c r="AD4" s="157"/>
    </row>
    <row r="5" spans="2:38" x14ac:dyDescent="0.25">
      <c r="B5" s="523"/>
      <c r="C5" s="263"/>
      <c r="D5" s="264"/>
      <c r="E5" s="265"/>
      <c r="F5" s="360"/>
      <c r="G5" s="523"/>
      <c r="H5" s="155" t="s">
        <v>49</v>
      </c>
      <c r="I5" s="162">
        <f>25.72-25.55</f>
        <v>0.17</v>
      </c>
      <c r="J5" s="525"/>
      <c r="K5" s="360"/>
      <c r="L5" s="523"/>
      <c r="M5" s="163"/>
      <c r="N5" s="164"/>
      <c r="O5" s="161"/>
      <c r="P5" s="360"/>
      <c r="Q5" s="523"/>
      <c r="R5" s="155" t="s">
        <v>49</v>
      </c>
      <c r="S5" s="162">
        <f>27.07-27.05</f>
        <v>0.02</v>
      </c>
      <c r="T5" s="525"/>
      <c r="U5" s="157"/>
      <c r="V5" s="157"/>
      <c r="W5" s="157"/>
      <c r="X5" s="157"/>
      <c r="Y5" s="157"/>
      <c r="Z5" s="157"/>
      <c r="AA5" s="157"/>
      <c r="AB5" s="157"/>
      <c r="AC5" s="157"/>
      <c r="AD5" s="157"/>
    </row>
    <row r="6" spans="2:38" ht="45" x14ac:dyDescent="0.25">
      <c r="B6" s="523"/>
      <c r="C6" s="260" t="s">
        <v>42</v>
      </c>
      <c r="D6" s="264"/>
      <c r="E6" s="265"/>
      <c r="F6" s="360"/>
      <c r="G6" s="523"/>
      <c r="H6" s="165" t="s">
        <v>50</v>
      </c>
      <c r="I6" s="219">
        <f>E4-77.8*0.1</f>
        <v>367.42</v>
      </c>
      <c r="J6" s="526"/>
      <c r="K6" s="360"/>
      <c r="L6" s="523"/>
      <c r="M6" s="158" t="s">
        <v>42</v>
      </c>
      <c r="N6" s="164"/>
      <c r="O6" s="161"/>
      <c r="P6" s="360"/>
      <c r="Q6" s="523"/>
      <c r="R6" s="165" t="s">
        <v>50</v>
      </c>
      <c r="S6" s="166">
        <f>O4</f>
        <v>11.03</v>
      </c>
      <c r="T6" s="526"/>
      <c r="U6" s="157"/>
      <c r="V6" s="157"/>
      <c r="W6" s="157"/>
      <c r="X6" s="157"/>
      <c r="Y6" s="157"/>
      <c r="Z6" s="157"/>
      <c r="AA6" s="157"/>
      <c r="AB6" s="157"/>
      <c r="AC6" s="157"/>
      <c r="AD6" s="157"/>
    </row>
    <row r="7" spans="2:38" x14ac:dyDescent="0.25">
      <c r="B7" s="523"/>
      <c r="C7" s="266">
        <v>98.16</v>
      </c>
      <c r="D7" s="262">
        <f>45.8+0.8*4</f>
        <v>49</v>
      </c>
      <c r="E7" s="120">
        <f>C7+D7</f>
        <v>147.16</v>
      </c>
      <c r="F7" s="360"/>
      <c r="G7" s="523"/>
      <c r="H7" s="155" t="s">
        <v>47</v>
      </c>
      <c r="I7" s="168">
        <f>(I6*I4)+((I6*I5)*2/3)</f>
        <v>60.01</v>
      </c>
      <c r="J7" s="118">
        <f t="shared" ref="J7" si="0">SUM(G7:I7)</f>
        <v>60.01</v>
      </c>
      <c r="K7" s="360"/>
      <c r="L7" s="523"/>
      <c r="M7" s="169">
        <v>2.54</v>
      </c>
      <c r="N7" s="170">
        <v>0</v>
      </c>
      <c r="O7" s="128">
        <f>M7+N7</f>
        <v>2.54</v>
      </c>
      <c r="P7" s="360"/>
      <c r="Q7" s="523"/>
      <c r="R7" s="155" t="s">
        <v>47</v>
      </c>
      <c r="S7" s="168">
        <f>(S6*S4)+((S6*S5)*2/3)</f>
        <v>0.7</v>
      </c>
      <c r="T7" s="118">
        <f t="shared" ref="T7" si="1">SUM(Q7:S7)</f>
        <v>0.7</v>
      </c>
      <c r="U7" s="157"/>
      <c r="V7" s="157"/>
      <c r="W7" s="157"/>
      <c r="X7" s="157"/>
      <c r="Y7" s="157"/>
      <c r="Z7" s="157"/>
      <c r="AA7" s="157"/>
      <c r="AB7" s="157"/>
      <c r="AC7" s="157"/>
      <c r="AD7" s="157"/>
    </row>
    <row r="8" spans="2:38" x14ac:dyDescent="0.25">
      <c r="B8" s="157"/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L8" s="22"/>
    </row>
    <row r="9" spans="2:38" x14ac:dyDescent="0.25">
      <c r="B9" s="157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</row>
    <row r="10" spans="2:38" ht="45" customHeight="1" x14ac:dyDescent="0.25">
      <c r="B10" s="523" t="s">
        <v>106</v>
      </c>
      <c r="C10" s="258" t="s">
        <v>40</v>
      </c>
      <c r="D10" s="158" t="s">
        <v>97</v>
      </c>
      <c r="E10" s="359" t="s">
        <v>41</v>
      </c>
      <c r="F10" s="360"/>
      <c r="G10" s="523" t="s">
        <v>98</v>
      </c>
      <c r="H10" s="155" t="s">
        <v>45</v>
      </c>
      <c r="I10" s="156" t="s">
        <v>46</v>
      </c>
      <c r="J10" s="524" t="s">
        <v>51</v>
      </c>
      <c r="K10" s="360"/>
      <c r="L10" s="523" t="s">
        <v>104</v>
      </c>
      <c r="M10" s="359" t="s">
        <v>40</v>
      </c>
      <c r="N10" s="158" t="s">
        <v>97</v>
      </c>
      <c r="O10" s="359" t="s">
        <v>41</v>
      </c>
      <c r="P10" s="360"/>
      <c r="Q10" s="523" t="s">
        <v>103</v>
      </c>
      <c r="R10" s="155" t="s">
        <v>45</v>
      </c>
      <c r="S10" s="156" t="s">
        <v>46</v>
      </c>
      <c r="T10" s="524" t="s">
        <v>51</v>
      </c>
      <c r="U10" s="157"/>
      <c r="V10" s="523" t="s">
        <v>105</v>
      </c>
      <c r="W10" s="359" t="s">
        <v>40</v>
      </c>
      <c r="X10" s="158" t="s">
        <v>97</v>
      </c>
      <c r="Y10" s="359" t="s">
        <v>41</v>
      </c>
      <c r="Z10" s="360"/>
      <c r="AA10" s="523" t="s">
        <v>99</v>
      </c>
      <c r="AB10" s="155" t="s">
        <v>45</v>
      </c>
      <c r="AC10" s="156" t="s">
        <v>46</v>
      </c>
      <c r="AD10" s="524" t="s">
        <v>51</v>
      </c>
      <c r="AE10" s="157"/>
    </row>
    <row r="11" spans="2:38" x14ac:dyDescent="0.25">
      <c r="B11" s="523"/>
      <c r="C11" s="159">
        <v>416.3</v>
      </c>
      <c r="D11" s="218">
        <v>11.3</v>
      </c>
      <c r="E11" s="129">
        <f>C11-D11</f>
        <v>405</v>
      </c>
      <c r="F11" s="360"/>
      <c r="G11" s="523"/>
      <c r="H11" s="155" t="s">
        <v>48</v>
      </c>
      <c r="I11" s="156">
        <f>0.05</f>
        <v>0.05</v>
      </c>
      <c r="J11" s="525"/>
      <c r="K11" s="360"/>
      <c r="L11" s="523"/>
      <c r="M11" s="159">
        <v>8.3000000000000007</v>
      </c>
      <c r="N11" s="218">
        <v>0</v>
      </c>
      <c r="O11" s="130">
        <f>M11-N11</f>
        <v>8.3000000000000007</v>
      </c>
      <c r="P11" s="360"/>
      <c r="Q11" s="523"/>
      <c r="R11" s="155" t="s">
        <v>48</v>
      </c>
      <c r="S11" s="156">
        <f>0.05</f>
        <v>0.05</v>
      </c>
      <c r="T11" s="525"/>
      <c r="U11" s="157"/>
      <c r="V11" s="523"/>
      <c r="W11" s="159">
        <v>15.5</v>
      </c>
      <c r="X11" s="160">
        <v>0</v>
      </c>
      <c r="Y11" s="129">
        <f>W11-X11</f>
        <v>15.5</v>
      </c>
      <c r="Z11" s="360"/>
      <c r="AA11" s="523"/>
      <c r="AB11" s="155" t="s">
        <v>48</v>
      </c>
      <c r="AC11" s="156">
        <f>0.05</f>
        <v>0.05</v>
      </c>
      <c r="AD11" s="525"/>
      <c r="AE11" s="157"/>
    </row>
    <row r="12" spans="2:38" x14ac:dyDescent="0.25">
      <c r="B12" s="523"/>
      <c r="C12" s="163"/>
      <c r="D12" s="164"/>
      <c r="E12" s="161"/>
      <c r="F12" s="360"/>
      <c r="G12" s="523"/>
      <c r="H12" s="155" t="s">
        <v>49</v>
      </c>
      <c r="I12" s="162">
        <f>25.72-25.55</f>
        <v>0.17</v>
      </c>
      <c r="J12" s="525"/>
      <c r="K12" s="360"/>
      <c r="L12" s="523"/>
      <c r="M12" s="163"/>
      <c r="N12" s="164"/>
      <c r="O12" s="161"/>
      <c r="P12" s="360"/>
      <c r="Q12" s="523"/>
      <c r="R12" s="155" t="s">
        <v>49</v>
      </c>
      <c r="S12" s="162">
        <v>0.05</v>
      </c>
      <c r="T12" s="525"/>
      <c r="U12" s="157"/>
      <c r="V12" s="523"/>
      <c r="W12" s="163"/>
      <c r="X12" s="164"/>
      <c r="Y12" s="161"/>
      <c r="Z12" s="360"/>
      <c r="AA12" s="523"/>
      <c r="AB12" s="155" t="s">
        <v>49</v>
      </c>
      <c r="AC12" s="162">
        <f>28.17-28.13</f>
        <v>0.04</v>
      </c>
      <c r="AD12" s="525"/>
      <c r="AE12" s="157"/>
    </row>
    <row r="13" spans="2:38" ht="45" x14ac:dyDescent="0.25">
      <c r="B13" s="523"/>
      <c r="C13" s="158" t="s">
        <v>42</v>
      </c>
      <c r="D13" s="164"/>
      <c r="E13" s="161"/>
      <c r="F13" s="360"/>
      <c r="G13" s="523"/>
      <c r="H13" s="165" t="s">
        <v>50</v>
      </c>
      <c r="I13" s="219">
        <f>E11-84.6*0.1</f>
        <v>396.54</v>
      </c>
      <c r="J13" s="526"/>
      <c r="K13" s="360"/>
      <c r="L13" s="523"/>
      <c r="M13" s="158" t="s">
        <v>42</v>
      </c>
      <c r="N13" s="164"/>
      <c r="O13" s="161"/>
      <c r="P13" s="360"/>
      <c r="Q13" s="523"/>
      <c r="R13" s="165" t="s">
        <v>50</v>
      </c>
      <c r="S13" s="166">
        <f>O11</f>
        <v>8.3000000000000007</v>
      </c>
      <c r="T13" s="526"/>
      <c r="U13" s="157"/>
      <c r="V13" s="523"/>
      <c r="W13" s="158" t="s">
        <v>42</v>
      </c>
      <c r="X13" s="164"/>
      <c r="Y13" s="161"/>
      <c r="Z13" s="360"/>
      <c r="AA13" s="523"/>
      <c r="AB13" s="165" t="s">
        <v>50</v>
      </c>
      <c r="AC13" s="166">
        <f>Y11</f>
        <v>15.5</v>
      </c>
      <c r="AD13" s="526"/>
      <c r="AE13" s="157"/>
    </row>
    <row r="14" spans="2:38" x14ac:dyDescent="0.25">
      <c r="B14" s="523"/>
      <c r="C14" s="169">
        <v>105.5</v>
      </c>
      <c r="D14" s="267">
        <f>50+0.8*4</f>
        <v>53.2</v>
      </c>
      <c r="E14" s="128">
        <f>C14+D14</f>
        <v>158.69999999999999</v>
      </c>
      <c r="F14" s="360"/>
      <c r="G14" s="523"/>
      <c r="H14" s="155" t="s">
        <v>47</v>
      </c>
      <c r="I14" s="168">
        <f>(I13*I11)+((I13*I12)*2/3)</f>
        <v>64.77</v>
      </c>
      <c r="J14" s="118">
        <f t="shared" ref="J14" si="2">SUM(G14:I14)</f>
        <v>64.77</v>
      </c>
      <c r="K14" s="360"/>
      <c r="L14" s="523"/>
      <c r="M14" s="169">
        <v>9.5</v>
      </c>
      <c r="N14" s="170">
        <v>0</v>
      </c>
      <c r="O14" s="128">
        <f>M14+N14</f>
        <v>9.5</v>
      </c>
      <c r="P14" s="360"/>
      <c r="Q14" s="523"/>
      <c r="R14" s="155" t="s">
        <v>47</v>
      </c>
      <c r="S14" s="168">
        <f>(S13*S11)+((S13*S12)*2/3)</f>
        <v>0.69</v>
      </c>
      <c r="T14" s="118">
        <f t="shared" ref="T14" si="3">SUM(Q14:S14)</f>
        <v>0.69</v>
      </c>
      <c r="U14" s="157"/>
      <c r="V14" s="523"/>
      <c r="W14" s="169">
        <v>19</v>
      </c>
      <c r="X14" s="170">
        <f>0.8*8</f>
        <v>6.4</v>
      </c>
      <c r="Y14" s="128">
        <f>W14+X14</f>
        <v>25.4</v>
      </c>
      <c r="Z14" s="360"/>
      <c r="AA14" s="523"/>
      <c r="AB14" s="155" t="s">
        <v>47</v>
      </c>
      <c r="AC14" s="168">
        <f>(AC13*AC11)+((AC13*AC12)*2/3)</f>
        <v>1.19</v>
      </c>
      <c r="AD14" s="118">
        <f t="shared" ref="AD14" si="4">SUM(AA14:AC14)</f>
        <v>1.19</v>
      </c>
      <c r="AE14" s="157"/>
    </row>
    <row r="15" spans="2:38" x14ac:dyDescent="0.25">
      <c r="B15" s="157"/>
      <c r="C15" s="259"/>
      <c r="D15" s="259"/>
      <c r="E15" s="360"/>
      <c r="F15" s="360"/>
      <c r="G15" s="360"/>
      <c r="H15" s="360"/>
      <c r="I15" s="360"/>
      <c r="J15" s="360"/>
      <c r="K15" s="360"/>
      <c r="L15" s="360"/>
      <c r="M15" s="360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</row>
    <row r="16" spans="2:38" x14ac:dyDescent="0.25">
      <c r="B16" s="157"/>
      <c r="C16" s="259"/>
      <c r="D16" s="259"/>
      <c r="E16" s="360"/>
      <c r="F16" s="360"/>
      <c r="G16" s="360"/>
      <c r="H16" s="360"/>
      <c r="I16" s="360"/>
      <c r="J16" s="360"/>
      <c r="K16" s="360"/>
      <c r="L16" s="360"/>
      <c r="M16" s="360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57"/>
    </row>
    <row r="17" spans="2:31" ht="45" customHeight="1" x14ac:dyDescent="0.25">
      <c r="B17" s="523" t="s">
        <v>128</v>
      </c>
      <c r="C17" s="258" t="s">
        <v>40</v>
      </c>
      <c r="D17" s="268" t="s">
        <v>80</v>
      </c>
      <c r="E17" s="359" t="s">
        <v>41</v>
      </c>
      <c r="F17" s="360"/>
      <c r="G17" s="523" t="s">
        <v>129</v>
      </c>
      <c r="H17" s="155" t="s">
        <v>45</v>
      </c>
      <c r="I17" s="156" t="s">
        <v>46</v>
      </c>
      <c r="J17" s="524" t="s">
        <v>51</v>
      </c>
      <c r="K17" s="360"/>
      <c r="L17" s="523" t="s">
        <v>130</v>
      </c>
      <c r="M17" s="359" t="s">
        <v>40</v>
      </c>
      <c r="N17" s="158" t="s">
        <v>97</v>
      </c>
      <c r="O17" s="359" t="s">
        <v>41</v>
      </c>
      <c r="P17" s="360"/>
      <c r="Q17" s="523" t="s">
        <v>131</v>
      </c>
      <c r="R17" s="155" t="s">
        <v>45</v>
      </c>
      <c r="S17" s="156" t="s">
        <v>46</v>
      </c>
      <c r="T17" s="524" t="s">
        <v>51</v>
      </c>
      <c r="U17" s="157"/>
      <c r="V17" s="523" t="s">
        <v>132</v>
      </c>
      <c r="W17" s="359" t="s">
        <v>40</v>
      </c>
      <c r="X17" s="158" t="s">
        <v>97</v>
      </c>
      <c r="Y17" s="359" t="s">
        <v>41</v>
      </c>
      <c r="Z17" s="360"/>
      <c r="AA17" s="523" t="s">
        <v>133</v>
      </c>
      <c r="AB17" s="155" t="s">
        <v>45</v>
      </c>
      <c r="AC17" s="156" t="s">
        <v>46</v>
      </c>
      <c r="AD17" s="524" t="s">
        <v>51</v>
      </c>
      <c r="AE17" s="157"/>
    </row>
    <row r="18" spans="2:31" x14ac:dyDescent="0.25">
      <c r="B18" s="523"/>
      <c r="C18" s="159">
        <v>596.6</v>
      </c>
      <c r="D18" s="269">
        <v>32.880000000000003</v>
      </c>
      <c r="E18" s="282">
        <f>C18-D18</f>
        <v>563.72</v>
      </c>
      <c r="F18" s="360"/>
      <c r="G18" s="523"/>
      <c r="H18" s="155" t="s">
        <v>48</v>
      </c>
      <c r="I18" s="156">
        <f>0.05</f>
        <v>0.05</v>
      </c>
      <c r="J18" s="525"/>
      <c r="K18" s="360"/>
      <c r="L18" s="523"/>
      <c r="M18" s="159">
        <v>10.15</v>
      </c>
      <c r="N18" s="218">
        <v>0</v>
      </c>
      <c r="O18" s="130">
        <f>M18-N18</f>
        <v>10.15</v>
      </c>
      <c r="P18" s="360"/>
      <c r="Q18" s="523"/>
      <c r="R18" s="155" t="s">
        <v>48</v>
      </c>
      <c r="S18" s="156">
        <f>0.05</f>
        <v>0.05</v>
      </c>
      <c r="T18" s="525"/>
      <c r="U18" s="157"/>
      <c r="V18" s="523"/>
      <c r="W18" s="159">
        <v>17.13</v>
      </c>
      <c r="X18" s="160">
        <v>0</v>
      </c>
      <c r="Y18" s="129">
        <f>W18-X18</f>
        <v>17.13</v>
      </c>
      <c r="Z18" s="360"/>
      <c r="AA18" s="523"/>
      <c r="AB18" s="155" t="s">
        <v>48</v>
      </c>
      <c r="AC18" s="156">
        <f>0.05</f>
        <v>0.05</v>
      </c>
      <c r="AD18" s="525"/>
      <c r="AE18" s="157"/>
    </row>
    <row r="19" spans="2:31" x14ac:dyDescent="0.25">
      <c r="B19" s="523"/>
      <c r="C19" s="163"/>
      <c r="D19" s="270"/>
      <c r="E19" s="240"/>
      <c r="F19" s="360"/>
      <c r="G19" s="523"/>
      <c r="H19" s="155" t="s">
        <v>49</v>
      </c>
      <c r="I19" s="162">
        <f>25.72-25.55</f>
        <v>0.17</v>
      </c>
      <c r="J19" s="525"/>
      <c r="K19" s="360"/>
      <c r="L19" s="523"/>
      <c r="M19" s="163"/>
      <c r="N19" s="164"/>
      <c r="O19" s="161"/>
      <c r="P19" s="360"/>
      <c r="Q19" s="523"/>
      <c r="R19" s="155" t="s">
        <v>49</v>
      </c>
      <c r="S19" s="162">
        <f>27.07-27.05</f>
        <v>0.02</v>
      </c>
      <c r="T19" s="525"/>
      <c r="U19" s="157"/>
      <c r="V19" s="523"/>
      <c r="W19" s="163"/>
      <c r="X19" s="164"/>
      <c r="Y19" s="161"/>
      <c r="Z19" s="360"/>
      <c r="AA19" s="523"/>
      <c r="AB19" s="155" t="s">
        <v>49</v>
      </c>
      <c r="AC19" s="162">
        <f>28.14-28.1</f>
        <v>0.04</v>
      </c>
      <c r="AD19" s="525"/>
      <c r="AE19" s="157"/>
    </row>
    <row r="20" spans="2:31" ht="45" x14ac:dyDescent="0.25">
      <c r="B20" s="523"/>
      <c r="C20" s="158" t="s">
        <v>42</v>
      </c>
      <c r="D20" s="270"/>
      <c r="E20" s="240"/>
      <c r="F20" s="360"/>
      <c r="G20" s="523"/>
      <c r="H20" s="165" t="s">
        <v>50</v>
      </c>
      <c r="I20" s="219">
        <f>E18-115.75*0.1</f>
        <v>552.15</v>
      </c>
      <c r="J20" s="526"/>
      <c r="K20" s="360"/>
      <c r="L20" s="523"/>
      <c r="M20" s="158" t="s">
        <v>42</v>
      </c>
      <c r="N20" s="164"/>
      <c r="O20" s="161"/>
      <c r="P20" s="360"/>
      <c r="Q20" s="523"/>
      <c r="R20" s="165" t="s">
        <v>50</v>
      </c>
      <c r="S20" s="166">
        <f>O18</f>
        <v>10.15</v>
      </c>
      <c r="T20" s="526"/>
      <c r="U20" s="157"/>
      <c r="V20" s="523"/>
      <c r="W20" s="158" t="s">
        <v>42</v>
      </c>
      <c r="X20" s="164"/>
      <c r="Y20" s="161"/>
      <c r="Z20" s="360"/>
      <c r="AA20" s="523"/>
      <c r="AB20" s="165" t="s">
        <v>50</v>
      </c>
      <c r="AC20" s="166">
        <f>Y18</f>
        <v>17.13</v>
      </c>
      <c r="AD20" s="526"/>
      <c r="AE20" s="157"/>
    </row>
    <row r="21" spans="2:31" x14ac:dyDescent="0.25">
      <c r="B21" s="523"/>
      <c r="C21" s="169">
        <v>133.33000000000001</v>
      </c>
      <c r="D21" s="269">
        <f>99.83+0.8*16</f>
        <v>112.63</v>
      </c>
      <c r="E21" s="283">
        <f>C21+D21</f>
        <v>245.96</v>
      </c>
      <c r="F21" s="360"/>
      <c r="G21" s="523"/>
      <c r="H21" s="155" t="s">
        <v>47</v>
      </c>
      <c r="I21" s="168">
        <f>(I20*I18)+((I20*I19)*2/3)</f>
        <v>90.18</v>
      </c>
      <c r="J21" s="118">
        <f t="shared" ref="J21" si="5">SUM(G21:I21)</f>
        <v>90.18</v>
      </c>
      <c r="K21" s="360"/>
      <c r="L21" s="523"/>
      <c r="M21" s="169">
        <v>0</v>
      </c>
      <c r="N21" s="170">
        <v>0</v>
      </c>
      <c r="O21" s="167">
        <f>M21+N21</f>
        <v>0</v>
      </c>
      <c r="P21" s="360"/>
      <c r="Q21" s="523"/>
      <c r="R21" s="155" t="s">
        <v>47</v>
      </c>
      <c r="S21" s="168">
        <f>(S20*S18)+((S20*S19)*2/3)</f>
        <v>0.64</v>
      </c>
      <c r="T21" s="118">
        <f t="shared" ref="T21" si="6">SUM(Q21:S21)</f>
        <v>0.64</v>
      </c>
      <c r="U21" s="157"/>
      <c r="V21" s="523"/>
      <c r="W21" s="169">
        <v>17.86</v>
      </c>
      <c r="X21" s="170">
        <v>0</v>
      </c>
      <c r="Y21" s="128">
        <f>W21+X21</f>
        <v>17.86</v>
      </c>
      <c r="Z21" s="360"/>
      <c r="AA21" s="523"/>
      <c r="AB21" s="155" t="s">
        <v>47</v>
      </c>
      <c r="AC21" s="168">
        <f>(AC20*AC18)+((AC20*AC19)*2/3)</f>
        <v>1.31</v>
      </c>
      <c r="AD21" s="118">
        <f t="shared" ref="AD21" si="7">SUM(AA21:AC21)</f>
        <v>1.31</v>
      </c>
      <c r="AE21" s="157"/>
    </row>
    <row r="22" spans="2:31" x14ac:dyDescent="0.25">
      <c r="B22" s="157"/>
      <c r="C22" s="259"/>
      <c r="D22" s="259"/>
      <c r="E22" s="360"/>
      <c r="F22" s="360"/>
      <c r="G22" s="360"/>
      <c r="H22" s="360"/>
      <c r="I22" s="360"/>
      <c r="J22" s="360"/>
      <c r="K22" s="360"/>
      <c r="L22" s="360"/>
      <c r="M22" s="360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</row>
    <row r="23" spans="2:31" x14ac:dyDescent="0.25">
      <c r="B23" s="157"/>
      <c r="C23" s="259"/>
      <c r="D23" s="259"/>
      <c r="E23" s="360"/>
      <c r="F23" s="360"/>
      <c r="G23" s="360"/>
      <c r="H23" s="360"/>
      <c r="I23" s="360"/>
      <c r="J23" s="360"/>
      <c r="K23" s="360"/>
      <c r="L23" s="360"/>
      <c r="M23" s="360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</row>
    <row r="24" spans="2:31" ht="60" customHeight="1" x14ac:dyDescent="0.25">
      <c r="B24" s="523" t="s">
        <v>146</v>
      </c>
      <c r="C24" s="258" t="s">
        <v>40</v>
      </c>
      <c r="D24" s="158" t="s">
        <v>97</v>
      </c>
      <c r="E24" s="359" t="s">
        <v>41</v>
      </c>
      <c r="F24" s="360"/>
      <c r="G24" s="523" t="s">
        <v>146</v>
      </c>
      <c r="H24" s="155" t="s">
        <v>45</v>
      </c>
      <c r="I24" s="156" t="s">
        <v>46</v>
      </c>
      <c r="J24" s="524" t="s">
        <v>51</v>
      </c>
      <c r="K24" s="360"/>
      <c r="L24" s="523" t="s">
        <v>147</v>
      </c>
      <c r="M24" s="359" t="s">
        <v>40</v>
      </c>
      <c r="N24" s="158" t="s">
        <v>97</v>
      </c>
      <c r="O24" s="359" t="s">
        <v>41</v>
      </c>
      <c r="P24" s="360"/>
      <c r="Q24" s="523" t="s">
        <v>148</v>
      </c>
      <c r="R24" s="155" t="s">
        <v>45</v>
      </c>
      <c r="S24" s="156" t="s">
        <v>46</v>
      </c>
      <c r="T24" s="524" t="s">
        <v>51</v>
      </c>
      <c r="U24" s="157"/>
      <c r="V24" s="157"/>
      <c r="W24" s="157"/>
      <c r="X24" s="157"/>
      <c r="Y24" s="157"/>
      <c r="Z24" s="157"/>
      <c r="AA24" s="157"/>
      <c r="AB24" s="157"/>
      <c r="AC24" s="157"/>
      <c r="AD24" s="157"/>
      <c r="AE24" s="157"/>
    </row>
    <row r="25" spans="2:31" x14ac:dyDescent="0.25">
      <c r="B25" s="523"/>
      <c r="C25" s="159">
        <v>342.42</v>
      </c>
      <c r="D25" s="218">
        <v>9.8800000000000008</v>
      </c>
      <c r="E25" s="129">
        <f>C25-D25</f>
        <v>332.54</v>
      </c>
      <c r="F25" s="360"/>
      <c r="G25" s="523"/>
      <c r="H25" s="155" t="s">
        <v>48</v>
      </c>
      <c r="I25" s="156">
        <f>0.05</f>
        <v>0.05</v>
      </c>
      <c r="J25" s="525"/>
      <c r="K25" s="360"/>
      <c r="L25" s="523"/>
      <c r="M25" s="159">
        <v>7</v>
      </c>
      <c r="N25" s="218">
        <v>0</v>
      </c>
      <c r="O25" s="130">
        <f>M25-N25</f>
        <v>7</v>
      </c>
      <c r="P25" s="360"/>
      <c r="Q25" s="523"/>
      <c r="R25" s="155" t="s">
        <v>48</v>
      </c>
      <c r="S25" s="156">
        <f>0.05</f>
        <v>0.05</v>
      </c>
      <c r="T25" s="525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</row>
    <row r="26" spans="2:31" x14ac:dyDescent="0.25">
      <c r="B26" s="523"/>
      <c r="C26" s="163"/>
      <c r="D26" s="164"/>
      <c r="E26" s="161"/>
      <c r="F26" s="360"/>
      <c r="G26" s="523"/>
      <c r="H26" s="155" t="s">
        <v>49</v>
      </c>
      <c r="I26" s="162">
        <f>25.72-25.55</f>
        <v>0.17</v>
      </c>
      <c r="J26" s="525"/>
      <c r="K26" s="360"/>
      <c r="L26" s="523"/>
      <c r="M26" s="163"/>
      <c r="N26" s="164"/>
      <c r="O26" s="161"/>
      <c r="P26" s="360"/>
      <c r="Q26" s="523"/>
      <c r="R26" s="155" t="s">
        <v>49</v>
      </c>
      <c r="S26" s="162">
        <f>27.07-27.05</f>
        <v>0.02</v>
      </c>
      <c r="T26" s="525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</row>
    <row r="27" spans="2:31" ht="45" x14ac:dyDescent="0.25">
      <c r="B27" s="523"/>
      <c r="C27" s="158" t="s">
        <v>42</v>
      </c>
      <c r="D27" s="164"/>
      <c r="E27" s="161"/>
      <c r="F27" s="360"/>
      <c r="G27" s="523"/>
      <c r="H27" s="165" t="s">
        <v>50</v>
      </c>
      <c r="I27" s="219">
        <f>E25-72.12*0.1</f>
        <v>325.33</v>
      </c>
      <c r="J27" s="526"/>
      <c r="K27" s="360"/>
      <c r="L27" s="523"/>
      <c r="M27" s="158" t="s">
        <v>42</v>
      </c>
      <c r="N27" s="164"/>
      <c r="O27" s="161"/>
      <c r="P27" s="360"/>
      <c r="Q27" s="523"/>
      <c r="R27" s="165" t="s">
        <v>50</v>
      </c>
      <c r="S27" s="166">
        <f>O25</f>
        <v>7</v>
      </c>
      <c r="T27" s="526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</row>
    <row r="28" spans="2:31" x14ac:dyDescent="0.25">
      <c r="B28" s="523"/>
      <c r="C28" s="169">
        <v>83.24</v>
      </c>
      <c r="D28" s="267">
        <v>41.06</v>
      </c>
      <c r="E28" s="128">
        <f>C28+D28</f>
        <v>124.3</v>
      </c>
      <c r="F28" s="360"/>
      <c r="G28" s="523"/>
      <c r="H28" s="155" t="s">
        <v>47</v>
      </c>
      <c r="I28" s="168">
        <f>(I27*I25)+((I27*I26)*2/3)</f>
        <v>53.14</v>
      </c>
      <c r="J28" s="118">
        <f t="shared" ref="J28" si="8">SUM(G28:I28)</f>
        <v>53.14</v>
      </c>
      <c r="K28" s="360"/>
      <c r="L28" s="523"/>
      <c r="M28" s="169">
        <v>2.5</v>
      </c>
      <c r="N28" s="170">
        <v>0</v>
      </c>
      <c r="O28" s="128">
        <f>M28+N28</f>
        <v>2.5</v>
      </c>
      <c r="P28" s="360"/>
      <c r="Q28" s="523"/>
      <c r="R28" s="155" t="s">
        <v>47</v>
      </c>
      <c r="S28" s="168">
        <f>(S27*S25)+((S27*S26)*2/3)</f>
        <v>0.44</v>
      </c>
      <c r="T28" s="118">
        <f t="shared" ref="T28" si="9">SUM(Q28:S28)</f>
        <v>0.44</v>
      </c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</row>
    <row r="29" spans="2:31" x14ac:dyDescent="0.25">
      <c r="B29" s="157"/>
      <c r="C29" s="259"/>
      <c r="D29" s="259"/>
      <c r="E29" s="360"/>
      <c r="F29" s="360"/>
      <c r="G29" s="360"/>
      <c r="H29" s="360"/>
      <c r="I29" s="360"/>
      <c r="J29" s="360"/>
      <c r="K29" s="360"/>
      <c r="L29" s="360"/>
      <c r="M29" s="360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</row>
    <row r="30" spans="2:31" x14ac:dyDescent="0.25">
      <c r="B30" s="157"/>
      <c r="C30" s="259"/>
      <c r="D30" s="259"/>
      <c r="E30" s="360"/>
      <c r="F30" s="360"/>
      <c r="G30" s="360"/>
      <c r="H30" s="360"/>
      <c r="I30" s="360"/>
      <c r="J30" s="360"/>
      <c r="K30" s="360"/>
      <c r="L30" s="360"/>
      <c r="M30" s="360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Y30" s="157"/>
      <c r="Z30" s="157"/>
      <c r="AA30" s="157"/>
      <c r="AB30" s="157"/>
      <c r="AC30" s="157"/>
      <c r="AD30" s="157"/>
      <c r="AE30" s="157"/>
    </row>
    <row r="31" spans="2:31" ht="60" customHeight="1" x14ac:dyDescent="0.25">
      <c r="B31" s="523" t="s">
        <v>156</v>
      </c>
      <c r="C31" s="258" t="s">
        <v>40</v>
      </c>
      <c r="D31" s="268" t="s">
        <v>80</v>
      </c>
      <c r="E31" s="359" t="s">
        <v>41</v>
      </c>
      <c r="F31" s="360"/>
      <c r="G31" s="523" t="s">
        <v>129</v>
      </c>
      <c r="H31" s="155" t="s">
        <v>45</v>
      </c>
      <c r="I31" s="156" t="s">
        <v>46</v>
      </c>
      <c r="J31" s="524" t="s">
        <v>51</v>
      </c>
      <c r="K31" s="360"/>
      <c r="L31" s="523" t="s">
        <v>157</v>
      </c>
      <c r="M31" s="359" t="s">
        <v>40</v>
      </c>
      <c r="N31" s="158" t="s">
        <v>97</v>
      </c>
      <c r="O31" s="359" t="s">
        <v>41</v>
      </c>
      <c r="P31" s="360"/>
      <c r="Q31" s="523" t="s">
        <v>158</v>
      </c>
      <c r="R31" s="155" t="s">
        <v>45</v>
      </c>
      <c r="S31" s="156" t="s">
        <v>46</v>
      </c>
      <c r="T31" s="524" t="s">
        <v>51</v>
      </c>
      <c r="U31" s="157"/>
      <c r="V31" s="523" t="s">
        <v>159</v>
      </c>
      <c r="W31" s="359" t="s">
        <v>40</v>
      </c>
      <c r="X31" s="158" t="s">
        <v>97</v>
      </c>
      <c r="Y31" s="359" t="s">
        <v>41</v>
      </c>
      <c r="Z31" s="360"/>
      <c r="AA31" s="523" t="s">
        <v>160</v>
      </c>
      <c r="AB31" s="155" t="s">
        <v>45</v>
      </c>
      <c r="AC31" s="156" t="s">
        <v>46</v>
      </c>
      <c r="AD31" s="524" t="s">
        <v>51</v>
      </c>
      <c r="AE31" s="157"/>
    </row>
    <row r="32" spans="2:31" x14ac:dyDescent="0.25">
      <c r="B32" s="523"/>
      <c r="C32" s="159">
        <v>597.28</v>
      </c>
      <c r="D32" s="269">
        <v>31.22</v>
      </c>
      <c r="E32" s="282">
        <f>C32-D32</f>
        <v>566.05999999999995</v>
      </c>
      <c r="F32" s="360"/>
      <c r="G32" s="523"/>
      <c r="H32" s="155" t="s">
        <v>48</v>
      </c>
      <c r="I32" s="156">
        <f>0.05</f>
        <v>0.05</v>
      </c>
      <c r="J32" s="525"/>
      <c r="K32" s="360"/>
      <c r="L32" s="523"/>
      <c r="M32" s="159">
        <v>10.1</v>
      </c>
      <c r="N32" s="218">
        <v>0</v>
      </c>
      <c r="O32" s="130">
        <f>M32-N32</f>
        <v>10.1</v>
      </c>
      <c r="P32" s="360"/>
      <c r="Q32" s="523"/>
      <c r="R32" s="155" t="s">
        <v>48</v>
      </c>
      <c r="S32" s="156">
        <f>0.05</f>
        <v>0.05</v>
      </c>
      <c r="T32" s="525"/>
      <c r="U32" s="157"/>
      <c r="V32" s="523"/>
      <c r="W32" s="159">
        <v>17.149999999999999</v>
      </c>
      <c r="X32" s="160">
        <v>0</v>
      </c>
      <c r="Y32" s="129">
        <f>W32-X32</f>
        <v>17.149999999999999</v>
      </c>
      <c r="Z32" s="360"/>
      <c r="AA32" s="523"/>
      <c r="AB32" s="155" t="s">
        <v>48</v>
      </c>
      <c r="AC32" s="156">
        <f>0.05</f>
        <v>0.05</v>
      </c>
      <c r="AD32" s="525"/>
      <c r="AE32" s="157"/>
    </row>
    <row r="33" spans="2:31" x14ac:dyDescent="0.25">
      <c r="B33" s="523"/>
      <c r="C33" s="163"/>
      <c r="D33" s="270"/>
      <c r="E33" s="240"/>
      <c r="F33" s="360"/>
      <c r="G33" s="523"/>
      <c r="H33" s="155" t="s">
        <v>49</v>
      </c>
      <c r="I33" s="162">
        <f>25.72-25.55</f>
        <v>0.17</v>
      </c>
      <c r="J33" s="525"/>
      <c r="K33" s="360"/>
      <c r="L33" s="523"/>
      <c r="M33" s="163"/>
      <c r="N33" s="164"/>
      <c r="O33" s="161"/>
      <c r="P33" s="360"/>
      <c r="Q33" s="523"/>
      <c r="R33" s="155" t="s">
        <v>49</v>
      </c>
      <c r="S33" s="162">
        <f>27.07-27.05</f>
        <v>0.02</v>
      </c>
      <c r="T33" s="525"/>
      <c r="U33" s="157"/>
      <c r="V33" s="523"/>
      <c r="W33" s="163"/>
      <c r="X33" s="164"/>
      <c r="Y33" s="161"/>
      <c r="Z33" s="360"/>
      <c r="AA33" s="523"/>
      <c r="AB33" s="155" t="s">
        <v>49</v>
      </c>
      <c r="AC33" s="162">
        <f>28.14-28.1</f>
        <v>0.04</v>
      </c>
      <c r="AD33" s="525"/>
      <c r="AE33" s="157"/>
    </row>
    <row r="34" spans="2:31" ht="45" x14ac:dyDescent="0.25">
      <c r="B34" s="523"/>
      <c r="C34" s="158" t="s">
        <v>42</v>
      </c>
      <c r="D34" s="270"/>
      <c r="E34" s="240"/>
      <c r="F34" s="360"/>
      <c r="G34" s="523"/>
      <c r="H34" s="165" t="s">
        <v>50</v>
      </c>
      <c r="I34" s="219">
        <f>E32-J131*0.1</f>
        <v>554.48</v>
      </c>
      <c r="J34" s="526"/>
      <c r="K34" s="360"/>
      <c r="L34" s="523"/>
      <c r="M34" s="158" t="s">
        <v>42</v>
      </c>
      <c r="N34" s="164"/>
      <c r="O34" s="161"/>
      <c r="P34" s="360"/>
      <c r="Q34" s="523"/>
      <c r="R34" s="165" t="s">
        <v>50</v>
      </c>
      <c r="S34" s="166">
        <f>O32</f>
        <v>10.1</v>
      </c>
      <c r="T34" s="526"/>
      <c r="U34" s="157"/>
      <c r="V34" s="523"/>
      <c r="W34" s="158" t="s">
        <v>42</v>
      </c>
      <c r="X34" s="164"/>
      <c r="Y34" s="161"/>
      <c r="Z34" s="360"/>
      <c r="AA34" s="523"/>
      <c r="AB34" s="165" t="s">
        <v>50</v>
      </c>
      <c r="AC34" s="166">
        <f>Y32</f>
        <v>17.149999999999999</v>
      </c>
      <c r="AD34" s="526"/>
      <c r="AE34" s="157"/>
    </row>
    <row r="35" spans="2:31" x14ac:dyDescent="0.25">
      <c r="B35" s="523"/>
      <c r="C35" s="169">
        <v>133.33000000000001</v>
      </c>
      <c r="D35" s="269">
        <f>94.55+0.8*16</f>
        <v>107.35</v>
      </c>
      <c r="E35" s="283">
        <f>C35+D35</f>
        <v>240.68</v>
      </c>
      <c r="F35" s="360"/>
      <c r="G35" s="523"/>
      <c r="H35" s="155" t="s">
        <v>47</v>
      </c>
      <c r="I35" s="168">
        <f>(I34*I32)+((I34*I33)*2/3)</f>
        <v>90.57</v>
      </c>
      <c r="J35" s="118">
        <f t="shared" ref="J35" si="10">SUM(G35:I35)</f>
        <v>90.57</v>
      </c>
      <c r="K35" s="360"/>
      <c r="L35" s="523"/>
      <c r="M35" s="169">
        <v>0</v>
      </c>
      <c r="N35" s="170">
        <v>0</v>
      </c>
      <c r="O35" s="167">
        <f>M35+N35</f>
        <v>0</v>
      </c>
      <c r="P35" s="360"/>
      <c r="Q35" s="523"/>
      <c r="R35" s="155" t="s">
        <v>47</v>
      </c>
      <c r="S35" s="168">
        <f>(S34*S32)+((S34*S33)*2/3)</f>
        <v>0.64</v>
      </c>
      <c r="T35" s="118">
        <f t="shared" ref="T35" si="11">SUM(Q35:S35)</f>
        <v>0.64</v>
      </c>
      <c r="U35" s="157"/>
      <c r="V35" s="523"/>
      <c r="W35" s="169">
        <v>17.87</v>
      </c>
      <c r="X35" s="170">
        <v>0</v>
      </c>
      <c r="Y35" s="128">
        <f>W35+X35</f>
        <v>17.87</v>
      </c>
      <c r="Z35" s="360"/>
      <c r="AA35" s="523"/>
      <c r="AB35" s="155" t="s">
        <v>47</v>
      </c>
      <c r="AC35" s="168">
        <f>(AC34*AC32)+((AC34*AC33)*2/3)</f>
        <v>1.31</v>
      </c>
      <c r="AD35" s="118">
        <f t="shared" ref="AD35" si="12">SUM(AA35:AC35)</f>
        <v>1.31</v>
      </c>
      <c r="AE35" s="157"/>
    </row>
    <row r="36" spans="2:31" x14ac:dyDescent="0.25">
      <c r="B36" s="157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</row>
    <row r="37" spans="2:31" x14ac:dyDescent="0.25">
      <c r="B37" s="157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</row>
    <row r="38" spans="2:31" ht="60" x14ac:dyDescent="0.25">
      <c r="B38" s="523" t="s">
        <v>162</v>
      </c>
      <c r="C38" s="258" t="s">
        <v>40</v>
      </c>
      <c r="D38" s="158" t="s">
        <v>97</v>
      </c>
      <c r="E38" s="359" t="s">
        <v>41</v>
      </c>
      <c r="F38" s="360"/>
      <c r="G38" s="523" t="s">
        <v>163</v>
      </c>
      <c r="H38" s="155" t="s">
        <v>45</v>
      </c>
      <c r="I38" s="156" t="s">
        <v>46</v>
      </c>
      <c r="J38" s="524" t="s">
        <v>51</v>
      </c>
      <c r="K38" s="360"/>
      <c r="L38" s="523" t="s">
        <v>164</v>
      </c>
      <c r="M38" s="359" t="s">
        <v>40</v>
      </c>
      <c r="N38" s="158" t="s">
        <v>97</v>
      </c>
      <c r="O38" s="359" t="s">
        <v>41</v>
      </c>
      <c r="P38" s="360"/>
      <c r="Q38" s="523" t="s">
        <v>165</v>
      </c>
      <c r="R38" s="155" t="s">
        <v>45</v>
      </c>
      <c r="S38" s="156" t="s">
        <v>46</v>
      </c>
      <c r="T38" s="524" t="s">
        <v>51</v>
      </c>
      <c r="U38" s="157"/>
      <c r="V38" s="523" t="s">
        <v>166</v>
      </c>
      <c r="W38" s="359" t="s">
        <v>40</v>
      </c>
      <c r="X38" s="158" t="s">
        <v>97</v>
      </c>
      <c r="Y38" s="359" t="s">
        <v>41</v>
      </c>
      <c r="Z38" s="360"/>
      <c r="AA38" s="523" t="s">
        <v>167</v>
      </c>
      <c r="AB38" s="155" t="s">
        <v>45</v>
      </c>
      <c r="AC38" s="156" t="s">
        <v>46</v>
      </c>
      <c r="AD38" s="524" t="s">
        <v>51</v>
      </c>
    </row>
    <row r="39" spans="2:31" x14ac:dyDescent="0.25">
      <c r="B39" s="523"/>
      <c r="C39" s="494">
        <v>416.3</v>
      </c>
      <c r="D39" s="218">
        <v>11.3</v>
      </c>
      <c r="E39" s="129">
        <f>C39-D39</f>
        <v>405</v>
      </c>
      <c r="F39" s="360"/>
      <c r="G39" s="523"/>
      <c r="H39" s="155" t="s">
        <v>48</v>
      </c>
      <c r="I39" s="156">
        <f>0.05</f>
        <v>0.05</v>
      </c>
      <c r="J39" s="525"/>
      <c r="K39" s="360"/>
      <c r="L39" s="523"/>
      <c r="M39" s="159">
        <v>8.3000000000000007</v>
      </c>
      <c r="N39" s="218">
        <v>0</v>
      </c>
      <c r="O39" s="130">
        <f>M39-N39</f>
        <v>8.3000000000000007</v>
      </c>
      <c r="P39" s="360"/>
      <c r="Q39" s="523"/>
      <c r="R39" s="155" t="s">
        <v>48</v>
      </c>
      <c r="S39" s="156">
        <f>0.05</f>
        <v>0.05</v>
      </c>
      <c r="T39" s="525"/>
      <c r="U39" s="157"/>
      <c r="V39" s="523"/>
      <c r="W39" s="159">
        <v>17.52</v>
      </c>
      <c r="X39" s="160">
        <v>0</v>
      </c>
      <c r="Y39" s="129">
        <f>W39-X39</f>
        <v>17.52</v>
      </c>
      <c r="Z39" s="360"/>
      <c r="AA39" s="523"/>
      <c r="AB39" s="155" t="s">
        <v>48</v>
      </c>
      <c r="AC39" s="156">
        <f>0.05</f>
        <v>0.05</v>
      </c>
      <c r="AD39" s="525"/>
    </row>
    <row r="40" spans="2:31" x14ac:dyDescent="0.25">
      <c r="B40" s="523"/>
      <c r="C40" s="495"/>
      <c r="D40" s="164"/>
      <c r="E40" s="161"/>
      <c r="F40" s="360"/>
      <c r="G40" s="523"/>
      <c r="H40" s="155" t="s">
        <v>49</v>
      </c>
      <c r="I40" s="162">
        <f>25.72-25.55</f>
        <v>0.17</v>
      </c>
      <c r="J40" s="525"/>
      <c r="K40" s="360"/>
      <c r="L40" s="523"/>
      <c r="M40" s="163"/>
      <c r="N40" s="164"/>
      <c r="O40" s="161"/>
      <c r="P40" s="360"/>
      <c r="Q40" s="523"/>
      <c r="R40" s="155" t="s">
        <v>49</v>
      </c>
      <c r="S40" s="162">
        <v>0.05</v>
      </c>
      <c r="T40" s="525"/>
      <c r="U40" s="157"/>
      <c r="V40" s="523"/>
      <c r="W40" s="163"/>
      <c r="X40" s="164"/>
      <c r="Y40" s="161"/>
      <c r="Z40" s="360"/>
      <c r="AA40" s="523"/>
      <c r="AB40" s="155" t="s">
        <v>49</v>
      </c>
      <c r="AC40" s="162">
        <f>28.17-28.13</f>
        <v>0.04</v>
      </c>
      <c r="AD40" s="525"/>
    </row>
    <row r="41" spans="2:31" ht="45" x14ac:dyDescent="0.25">
      <c r="B41" s="523"/>
      <c r="C41" s="496" t="s">
        <v>42</v>
      </c>
      <c r="D41" s="164"/>
      <c r="E41" s="161"/>
      <c r="F41" s="360"/>
      <c r="G41" s="523"/>
      <c r="H41" s="165" t="s">
        <v>50</v>
      </c>
      <c r="I41" s="219">
        <f>E39-J158*0.1</f>
        <v>396.53</v>
      </c>
      <c r="J41" s="526"/>
      <c r="K41" s="360"/>
      <c r="L41" s="523"/>
      <c r="M41" s="158" t="s">
        <v>42</v>
      </c>
      <c r="N41" s="164"/>
      <c r="O41" s="161"/>
      <c r="P41" s="360"/>
      <c r="Q41" s="523"/>
      <c r="R41" s="165" t="s">
        <v>50</v>
      </c>
      <c r="S41" s="166">
        <f>O39</f>
        <v>8.3000000000000007</v>
      </c>
      <c r="T41" s="526"/>
      <c r="U41" s="157"/>
      <c r="V41" s="523"/>
      <c r="W41" s="158" t="s">
        <v>42</v>
      </c>
      <c r="X41" s="164"/>
      <c r="Y41" s="161"/>
      <c r="Z41" s="360"/>
      <c r="AA41" s="523"/>
      <c r="AB41" s="165" t="s">
        <v>50</v>
      </c>
      <c r="AC41" s="166">
        <f>Y39</f>
        <v>17.52</v>
      </c>
      <c r="AD41" s="526"/>
    </row>
    <row r="42" spans="2:31" x14ac:dyDescent="0.25">
      <c r="B42" s="523"/>
      <c r="C42" s="497">
        <v>105.5</v>
      </c>
      <c r="D42" s="267">
        <f>50+0.8*4</f>
        <v>53.2</v>
      </c>
      <c r="E42" s="128">
        <f>C42+D42</f>
        <v>158.69999999999999</v>
      </c>
      <c r="F42" s="360"/>
      <c r="G42" s="523"/>
      <c r="H42" s="155" t="s">
        <v>47</v>
      </c>
      <c r="I42" s="168">
        <f>(I41*I39)+((I41*I40)*2/3)</f>
        <v>64.77</v>
      </c>
      <c r="J42" s="118">
        <f t="shared" ref="J42" si="13">SUM(G42:I42)</f>
        <v>64.77</v>
      </c>
      <c r="K42" s="360"/>
      <c r="L42" s="523"/>
      <c r="M42" s="169">
        <v>9.5</v>
      </c>
      <c r="N42" s="170">
        <v>0</v>
      </c>
      <c r="O42" s="128">
        <f>M42+N42</f>
        <v>9.5</v>
      </c>
      <c r="P42" s="360"/>
      <c r="Q42" s="523"/>
      <c r="R42" s="155" t="s">
        <v>47</v>
      </c>
      <c r="S42" s="168">
        <f>(S41*S39)+((S41*S40)*2/3)</f>
        <v>0.69</v>
      </c>
      <c r="T42" s="118">
        <f t="shared" ref="T42" si="14">SUM(Q42:S42)</f>
        <v>0.69</v>
      </c>
      <c r="U42" s="157"/>
      <c r="V42" s="523"/>
      <c r="W42" s="169">
        <v>18.7</v>
      </c>
      <c r="X42" s="170">
        <v>0</v>
      </c>
      <c r="Y42" s="128">
        <f>W42+X42</f>
        <v>18.7</v>
      </c>
      <c r="Z42" s="360"/>
      <c r="AA42" s="523"/>
      <c r="AB42" s="155" t="s">
        <v>47</v>
      </c>
      <c r="AC42" s="168">
        <f>(AC41*AC39)+((AC41*AC40)*2/3)</f>
        <v>1.34</v>
      </c>
      <c r="AD42" s="118">
        <f t="shared" ref="AD42" si="15">SUM(AA42:AC42)</f>
        <v>1.34</v>
      </c>
    </row>
    <row r="43" spans="2:31" x14ac:dyDescent="0.25">
      <c r="B43" s="157"/>
      <c r="C43" s="259"/>
      <c r="D43" s="259"/>
      <c r="E43" s="360"/>
      <c r="F43" s="360"/>
      <c r="G43" s="360"/>
      <c r="H43" s="360"/>
      <c r="I43" s="360"/>
      <c r="J43" s="360"/>
      <c r="K43" s="360"/>
      <c r="L43" s="360"/>
      <c r="M43" s="360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</row>
    <row r="44" spans="2:31" x14ac:dyDescent="0.25">
      <c r="B44" s="157"/>
      <c r="C44" s="259"/>
      <c r="D44" s="259"/>
      <c r="E44" s="360"/>
      <c r="F44" s="360"/>
      <c r="G44" s="360"/>
      <c r="H44" s="360"/>
      <c r="I44" s="360"/>
      <c r="J44" s="360"/>
      <c r="K44" s="360"/>
      <c r="L44" s="360"/>
      <c r="M44" s="360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</row>
    <row r="45" spans="2:31" ht="60" x14ac:dyDescent="0.25">
      <c r="B45" s="523" t="s">
        <v>170</v>
      </c>
      <c r="C45" s="258" t="s">
        <v>40</v>
      </c>
      <c r="D45" s="158" t="s">
        <v>97</v>
      </c>
      <c r="E45" s="359" t="s">
        <v>41</v>
      </c>
      <c r="F45" s="360"/>
      <c r="G45" s="523" t="s">
        <v>171</v>
      </c>
      <c r="H45" s="155" t="s">
        <v>45</v>
      </c>
      <c r="I45" s="156" t="s">
        <v>46</v>
      </c>
      <c r="J45" s="524" t="s">
        <v>51</v>
      </c>
      <c r="K45" s="360"/>
      <c r="L45" s="523" t="s">
        <v>172</v>
      </c>
      <c r="M45" s="359" t="s">
        <v>40</v>
      </c>
      <c r="N45" s="158" t="s">
        <v>97</v>
      </c>
      <c r="O45" s="359" t="s">
        <v>41</v>
      </c>
      <c r="P45" s="360"/>
      <c r="Q45" s="523" t="s">
        <v>173</v>
      </c>
      <c r="R45" s="155" t="s">
        <v>45</v>
      </c>
      <c r="S45" s="156" t="s">
        <v>46</v>
      </c>
      <c r="T45" s="524" t="s">
        <v>51</v>
      </c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</row>
    <row r="46" spans="2:31" x14ac:dyDescent="0.25">
      <c r="B46" s="523"/>
      <c r="C46" s="159">
        <v>383.5</v>
      </c>
      <c r="D46" s="218">
        <v>10.3</v>
      </c>
      <c r="E46" s="129">
        <f>C46-D46</f>
        <v>373.2</v>
      </c>
      <c r="F46" s="360"/>
      <c r="G46" s="523"/>
      <c r="H46" s="155" t="s">
        <v>48</v>
      </c>
      <c r="I46" s="156">
        <f>0.05</f>
        <v>0.05</v>
      </c>
      <c r="J46" s="525"/>
      <c r="K46" s="360"/>
      <c r="L46" s="523"/>
      <c r="M46" s="159">
        <v>13</v>
      </c>
      <c r="N46" s="218">
        <v>2.5</v>
      </c>
      <c r="O46" s="130">
        <f>M46-N46</f>
        <v>10.5</v>
      </c>
      <c r="P46" s="360"/>
      <c r="Q46" s="523"/>
      <c r="R46" s="155" t="s">
        <v>48</v>
      </c>
      <c r="S46" s="156">
        <f>0.05</f>
        <v>0.05</v>
      </c>
      <c r="T46" s="525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</row>
    <row r="47" spans="2:31" x14ac:dyDescent="0.25">
      <c r="B47" s="523"/>
      <c r="C47" s="163"/>
      <c r="D47" s="164"/>
      <c r="E47" s="161"/>
      <c r="F47" s="360"/>
      <c r="G47" s="523"/>
      <c r="H47" s="155" t="s">
        <v>49</v>
      </c>
      <c r="I47" s="162">
        <f>25.72-25.55</f>
        <v>0.17</v>
      </c>
      <c r="J47" s="525"/>
      <c r="K47" s="360"/>
      <c r="L47" s="523"/>
      <c r="M47" s="163"/>
      <c r="N47" s="164"/>
      <c r="O47" s="161"/>
      <c r="P47" s="360"/>
      <c r="Q47" s="523"/>
      <c r="R47" s="155" t="s">
        <v>49</v>
      </c>
      <c r="S47" s="162">
        <v>0.04</v>
      </c>
      <c r="T47" s="525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</row>
    <row r="48" spans="2:31" ht="45" x14ac:dyDescent="0.25">
      <c r="B48" s="523"/>
      <c r="C48" s="158" t="s">
        <v>42</v>
      </c>
      <c r="D48" s="164"/>
      <c r="E48" s="161"/>
      <c r="F48" s="360"/>
      <c r="G48" s="523"/>
      <c r="H48" s="165" t="s">
        <v>50</v>
      </c>
      <c r="I48" s="219">
        <f>E46-K175*0.1</f>
        <v>365.41</v>
      </c>
      <c r="J48" s="526"/>
      <c r="K48" s="360"/>
      <c r="L48" s="523"/>
      <c r="M48" s="158" t="s">
        <v>42</v>
      </c>
      <c r="N48" s="164"/>
      <c r="O48" s="161"/>
      <c r="P48" s="360"/>
      <c r="Q48" s="523"/>
      <c r="R48" s="165" t="s">
        <v>50</v>
      </c>
      <c r="S48" s="166">
        <f>O46</f>
        <v>10.5</v>
      </c>
      <c r="T48" s="526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</row>
    <row r="49" spans="2:37" x14ac:dyDescent="0.25">
      <c r="B49" s="523"/>
      <c r="C49" s="169">
        <v>99.14</v>
      </c>
      <c r="D49" s="267">
        <f>45.8+0.8*4</f>
        <v>49</v>
      </c>
      <c r="E49" s="128">
        <f>C49+D49</f>
        <v>148.13999999999999</v>
      </c>
      <c r="F49" s="360"/>
      <c r="G49" s="523"/>
      <c r="H49" s="155" t="s">
        <v>47</v>
      </c>
      <c r="I49" s="168">
        <f>(I48*I46)+((I48*I47)*2/3)</f>
        <v>59.68</v>
      </c>
      <c r="J49" s="118">
        <f t="shared" ref="J49" si="16">SUM(G49:I49)</f>
        <v>59.68</v>
      </c>
      <c r="K49" s="360"/>
      <c r="L49" s="523"/>
      <c r="M49" s="169">
        <f>6.3+2.4</f>
        <v>8.6999999999999993</v>
      </c>
      <c r="N49" s="170">
        <v>0</v>
      </c>
      <c r="O49" s="128">
        <f>M49+N49</f>
        <v>8.6999999999999993</v>
      </c>
      <c r="P49" s="360"/>
      <c r="Q49" s="523"/>
      <c r="R49" s="155" t="s">
        <v>47</v>
      </c>
      <c r="S49" s="168">
        <f>(S48*S46)+((S48*S47)*2/3)</f>
        <v>0.81</v>
      </c>
      <c r="T49" s="118">
        <f t="shared" ref="T49" si="17">SUM(Q49:S49)</f>
        <v>0.81</v>
      </c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</row>
    <row r="50" spans="2:37" x14ac:dyDescent="0.25">
      <c r="B50" s="157"/>
      <c r="C50" s="259"/>
      <c r="D50" s="259"/>
      <c r="E50" s="360"/>
      <c r="F50" s="360"/>
      <c r="G50" s="360"/>
      <c r="H50" s="360"/>
      <c r="I50" s="360"/>
      <c r="J50" s="360"/>
      <c r="K50" s="360"/>
      <c r="L50" s="360"/>
      <c r="M50" s="360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</row>
    <row r="51" spans="2:37" x14ac:dyDescent="0.25">
      <c r="B51" s="157"/>
      <c r="C51" s="259"/>
      <c r="D51" s="259"/>
      <c r="E51" s="360"/>
      <c r="F51" s="360"/>
      <c r="G51" s="360"/>
      <c r="H51" s="360"/>
      <c r="I51" s="360"/>
      <c r="J51" s="360"/>
      <c r="K51" s="360"/>
      <c r="L51" s="360"/>
      <c r="M51" s="360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</row>
    <row r="52" spans="2:37" x14ac:dyDescent="0.25">
      <c r="B52" s="157"/>
      <c r="C52" s="259"/>
      <c r="D52" s="259"/>
      <c r="E52" s="259"/>
      <c r="F52" s="259"/>
      <c r="G52" s="259"/>
      <c r="H52" s="259"/>
      <c r="I52" s="259"/>
      <c r="J52" s="259"/>
      <c r="K52" s="259"/>
      <c r="L52" s="259"/>
      <c r="M52" s="259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</row>
    <row r="53" spans="2:37" x14ac:dyDescent="0.25">
      <c r="B53" s="157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59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</row>
    <row r="54" spans="2:37" x14ac:dyDescent="0.25">
      <c r="B54" s="157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</row>
    <row r="55" spans="2:37" x14ac:dyDescent="0.25">
      <c r="B55" s="157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</row>
    <row r="56" spans="2:37" x14ac:dyDescent="0.25">
      <c r="B56" s="157"/>
      <c r="C56" s="360"/>
      <c r="D56" s="360"/>
      <c r="E56" s="360"/>
      <c r="F56" s="360"/>
      <c r="G56" s="360"/>
      <c r="H56" s="360"/>
      <c r="I56" s="360"/>
      <c r="J56" s="360"/>
      <c r="K56" s="360"/>
      <c r="L56" s="360"/>
      <c r="M56" s="360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</row>
    <row r="57" spans="2:37" x14ac:dyDescent="0.25">
      <c r="B57" s="157"/>
      <c r="C57" s="226" t="s">
        <v>74</v>
      </c>
      <c r="D57" s="360"/>
      <c r="E57" s="360"/>
      <c r="F57" s="360"/>
      <c r="G57" s="360"/>
      <c r="H57" s="360"/>
      <c r="I57" s="360"/>
      <c r="J57" s="360"/>
      <c r="K57" s="360"/>
      <c r="L57" s="360"/>
      <c r="M57" s="360"/>
      <c r="N57" s="226" t="s">
        <v>198</v>
      </c>
      <c r="O57" s="226" t="s">
        <v>150</v>
      </c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</row>
    <row r="58" spans="2:37" x14ac:dyDescent="0.25">
      <c r="B58" s="157"/>
      <c r="C58" s="231" t="s">
        <v>77</v>
      </c>
      <c r="D58" s="360"/>
      <c r="E58" s="522" t="s">
        <v>76</v>
      </c>
      <c r="F58" s="522"/>
      <c r="G58" s="227"/>
      <c r="H58" s="360"/>
      <c r="I58" s="227" t="s">
        <v>181</v>
      </c>
      <c r="J58" s="227"/>
      <c r="K58" s="227"/>
      <c r="L58" s="227"/>
      <c r="M58" s="227"/>
      <c r="N58" s="360" t="s">
        <v>195</v>
      </c>
      <c r="O58" s="360" t="s">
        <v>91</v>
      </c>
      <c r="P58" s="227"/>
      <c r="Q58" s="157"/>
      <c r="R58" s="361"/>
      <c r="S58" s="527"/>
      <c r="T58" s="527"/>
      <c r="U58" s="360"/>
      <c r="V58" s="361"/>
      <c r="W58" s="259"/>
      <c r="X58" s="271"/>
      <c r="Y58" s="271"/>
      <c r="Z58" s="271"/>
      <c r="AA58" s="271"/>
      <c r="AB58" s="157"/>
      <c r="AC58" s="157"/>
      <c r="AD58" s="157"/>
    </row>
    <row r="59" spans="2:37" x14ac:dyDescent="0.25">
      <c r="B59" s="227" t="s">
        <v>182</v>
      </c>
      <c r="C59" s="171">
        <f>1.13*0.72</f>
        <v>0.81</v>
      </c>
      <c r="D59" s="229"/>
      <c r="E59" s="360"/>
      <c r="F59" s="360">
        <f>1.13*2+0.72*2</f>
        <v>3.7</v>
      </c>
      <c r="G59" s="360"/>
      <c r="H59" s="229"/>
      <c r="I59" s="360"/>
      <c r="J59" s="481">
        <v>98.16</v>
      </c>
      <c r="K59" s="235"/>
      <c r="L59" s="227"/>
      <c r="M59" s="360"/>
      <c r="N59" s="481">
        <v>15.24</v>
      </c>
      <c r="O59" s="481">
        <v>14.1</v>
      </c>
      <c r="P59" s="157"/>
      <c r="Q59" s="272"/>
      <c r="R59" s="226"/>
      <c r="S59" s="226"/>
      <c r="T59" s="273"/>
      <c r="U59" s="274"/>
      <c r="V59" s="157"/>
      <c r="W59" s="226"/>
      <c r="X59" s="157"/>
      <c r="Y59" s="275"/>
      <c r="Z59" s="276"/>
      <c r="AA59" s="276"/>
      <c r="AB59" s="276"/>
      <c r="AC59" s="276"/>
      <c r="AD59" s="276"/>
      <c r="AE59" s="33"/>
      <c r="AF59" s="33"/>
      <c r="AG59" s="33"/>
      <c r="AH59" s="33"/>
      <c r="AI59" s="33"/>
      <c r="AJ59" s="33"/>
      <c r="AK59" s="33"/>
    </row>
    <row r="60" spans="2:37" x14ac:dyDescent="0.25">
      <c r="B60" s="227" t="s">
        <v>183</v>
      </c>
      <c r="C60" s="171">
        <f>0.72*1.24</f>
        <v>0.89</v>
      </c>
      <c r="D60" s="229"/>
      <c r="E60" s="360"/>
      <c r="F60" s="360">
        <f>1.24*2+0.72*2</f>
        <v>3.92</v>
      </c>
      <c r="G60" s="360"/>
      <c r="H60" s="229"/>
      <c r="I60" s="360"/>
      <c r="J60" s="360"/>
      <c r="K60" s="171"/>
      <c r="L60" s="227"/>
      <c r="M60" s="360"/>
      <c r="N60" s="157"/>
      <c r="O60" s="157"/>
      <c r="P60" s="157"/>
      <c r="Q60" s="360"/>
      <c r="R60" s="157"/>
      <c r="S60" s="157"/>
      <c r="T60" s="157"/>
      <c r="U60" s="157"/>
      <c r="V60" s="157"/>
      <c r="W60" s="157"/>
      <c r="X60" s="157"/>
      <c r="Y60" s="277"/>
      <c r="Z60" s="277"/>
      <c r="AA60" s="277"/>
      <c r="AB60" s="277"/>
      <c r="AC60" s="277"/>
      <c r="AD60" s="278"/>
      <c r="AE60" s="32"/>
      <c r="AF60" s="31"/>
      <c r="AG60" s="32"/>
      <c r="AH60" s="32"/>
      <c r="AI60" s="31"/>
      <c r="AJ60" s="32"/>
      <c r="AK60" s="32"/>
    </row>
    <row r="61" spans="2:37" x14ac:dyDescent="0.25">
      <c r="B61" s="227" t="s">
        <v>184</v>
      </c>
      <c r="C61" s="171">
        <f>1.16*0.72</f>
        <v>0.84</v>
      </c>
      <c r="D61" s="229"/>
      <c r="E61" s="360"/>
      <c r="F61" s="360">
        <f>1.16*2+0.72*2</f>
        <v>3.76</v>
      </c>
      <c r="G61" s="360"/>
      <c r="H61" s="229"/>
      <c r="I61" s="360"/>
      <c r="J61" s="360"/>
      <c r="K61" s="279"/>
      <c r="L61" s="227"/>
      <c r="M61" s="360"/>
      <c r="N61" s="157" t="s">
        <v>79</v>
      </c>
      <c r="O61" s="361" t="s">
        <v>152</v>
      </c>
      <c r="P61" s="157"/>
      <c r="Q61" s="226"/>
      <c r="R61" s="157"/>
      <c r="S61" s="157"/>
      <c r="T61" s="157"/>
      <c r="U61" s="157"/>
      <c r="V61" s="157"/>
      <c r="W61" s="157"/>
      <c r="X61" s="157"/>
      <c r="Y61" s="277"/>
      <c r="Z61" s="277"/>
      <c r="AA61" s="277"/>
      <c r="AB61" s="277"/>
      <c r="AC61" s="277"/>
      <c r="AD61" s="277"/>
      <c r="AE61" s="31"/>
      <c r="AF61" s="31"/>
      <c r="AG61" s="31"/>
      <c r="AH61" s="31"/>
      <c r="AI61" s="31"/>
      <c r="AJ61" s="31"/>
      <c r="AK61" s="31"/>
    </row>
    <row r="62" spans="2:37" x14ac:dyDescent="0.25">
      <c r="B62" s="227" t="s">
        <v>185</v>
      </c>
      <c r="C62" s="171">
        <f>0.72*1.05</f>
        <v>0.76</v>
      </c>
      <c r="D62" s="229"/>
      <c r="E62" s="360"/>
      <c r="F62" s="360">
        <f>0.72*2+1.05*2</f>
        <v>3.54</v>
      </c>
      <c r="G62" s="360"/>
      <c r="H62" s="229"/>
      <c r="I62" s="522" t="s">
        <v>194</v>
      </c>
      <c r="J62" s="522"/>
      <c r="K62" s="522"/>
      <c r="L62" s="522"/>
      <c r="M62" s="360"/>
      <c r="N62" s="272">
        <v>58.4</v>
      </c>
      <c r="O62" s="481">
        <v>7.3</v>
      </c>
      <c r="P62" s="157"/>
      <c r="Q62" s="226"/>
      <c r="R62" s="157"/>
      <c r="S62" s="157"/>
      <c r="T62" s="157"/>
      <c r="U62" s="157"/>
      <c r="V62" s="157"/>
      <c r="W62" s="157"/>
      <c r="X62" s="157"/>
      <c r="Y62" s="277"/>
      <c r="Z62" s="277"/>
      <c r="AA62" s="277"/>
      <c r="AB62" s="278"/>
      <c r="AC62" s="277"/>
      <c r="AD62" s="277"/>
      <c r="AE62" s="31"/>
      <c r="AF62" s="32"/>
      <c r="AG62" s="31"/>
      <c r="AH62" s="31"/>
      <c r="AI62" s="31"/>
      <c r="AJ62" s="31"/>
      <c r="AK62" s="31"/>
    </row>
    <row r="63" spans="2:37" x14ac:dyDescent="0.25">
      <c r="B63" s="227" t="s">
        <v>186</v>
      </c>
      <c r="C63" s="171">
        <f>0.72*1.24</f>
        <v>0.89</v>
      </c>
      <c r="D63" s="229"/>
      <c r="E63" s="360"/>
      <c r="F63" s="360">
        <f>0.72*2+1.24*2</f>
        <v>3.92</v>
      </c>
      <c r="G63" s="360"/>
      <c r="H63" s="229"/>
      <c r="I63" s="360"/>
      <c r="J63" s="482">
        <v>71.2</v>
      </c>
      <c r="K63" s="235"/>
      <c r="L63" s="360"/>
      <c r="M63" s="360"/>
      <c r="N63" s="360">
        <v>7.7</v>
      </c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278"/>
      <c r="Z63" s="278"/>
      <c r="AA63" s="277"/>
      <c r="AB63" s="277"/>
      <c r="AC63" s="277"/>
      <c r="AD63" s="277"/>
      <c r="AE63" s="31"/>
      <c r="AF63" s="31"/>
      <c r="AG63" s="31"/>
      <c r="AH63" s="31"/>
      <c r="AI63" s="32"/>
      <c r="AJ63" s="31"/>
      <c r="AK63" s="31"/>
    </row>
    <row r="64" spans="2:37" x14ac:dyDescent="0.25">
      <c r="B64" s="227" t="s">
        <v>187</v>
      </c>
      <c r="C64" s="171">
        <f>0.72*1.16</f>
        <v>0.84</v>
      </c>
      <c r="D64" s="229"/>
      <c r="E64" s="360"/>
      <c r="F64" s="360">
        <f>0.72*2+1.16*2</f>
        <v>3.76</v>
      </c>
      <c r="G64" s="360"/>
      <c r="H64" s="229"/>
      <c r="I64" s="360"/>
      <c r="J64" s="360">
        <v>6.6</v>
      </c>
      <c r="K64" s="360"/>
      <c r="L64" s="360"/>
      <c r="M64" s="360"/>
      <c r="N64" s="481">
        <f>SUM(N62:N63)</f>
        <v>66.099999999999994</v>
      </c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278"/>
      <c r="AB64" s="157"/>
      <c r="AC64" s="278"/>
      <c r="AD64" s="157"/>
    </row>
    <row r="65" spans="1:30" ht="15" customHeight="1" x14ac:dyDescent="0.25">
      <c r="B65" s="227" t="s">
        <v>188</v>
      </c>
      <c r="C65" s="171">
        <f>0.72*1.16</f>
        <v>0.84</v>
      </c>
      <c r="D65" s="229"/>
      <c r="E65" s="360"/>
      <c r="F65" s="360">
        <f>0.72*2+1.16*2</f>
        <v>3.76</v>
      </c>
      <c r="G65" s="360"/>
      <c r="H65" s="229"/>
      <c r="I65" s="360"/>
      <c r="J65" s="481">
        <f>SUM(J63:J64)</f>
        <v>77.8</v>
      </c>
      <c r="K65" s="360"/>
      <c r="L65" s="360"/>
      <c r="M65" s="360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</row>
    <row r="66" spans="1:30" x14ac:dyDescent="0.25">
      <c r="B66" s="227" t="s">
        <v>189</v>
      </c>
      <c r="C66" s="171">
        <f>0.72*1.05</f>
        <v>0.76</v>
      </c>
      <c r="D66" s="229"/>
      <c r="E66" s="360"/>
      <c r="F66" s="360">
        <f>0.72*2+1.05*2</f>
        <v>3.54</v>
      </c>
      <c r="G66" s="360"/>
      <c r="H66" s="229"/>
      <c r="I66" s="360"/>
      <c r="J66" s="360"/>
      <c r="K66" s="360"/>
      <c r="L66" s="360"/>
      <c r="M66" s="360"/>
      <c r="N66" s="157" t="s">
        <v>251</v>
      </c>
      <c r="O66" s="157"/>
      <c r="P66" s="157"/>
      <c r="Q66" s="157"/>
      <c r="R66" s="157"/>
      <c r="S66" s="157"/>
      <c r="T66" s="157"/>
      <c r="U66" s="157"/>
      <c r="V66" s="157"/>
      <c r="W66" s="157"/>
      <c r="X66" s="157"/>
      <c r="Y66" s="157"/>
      <c r="Z66" s="157"/>
      <c r="AA66" s="157"/>
      <c r="AB66" s="157"/>
      <c r="AC66" s="157"/>
      <c r="AD66" s="157"/>
    </row>
    <row r="67" spans="1:30" x14ac:dyDescent="0.25">
      <c r="B67" s="227" t="s">
        <v>190</v>
      </c>
      <c r="C67" s="171">
        <f>1.16*0.72</f>
        <v>0.84</v>
      </c>
      <c r="D67" s="229"/>
      <c r="E67" s="360"/>
      <c r="F67" s="360">
        <f>1.16*2+0.72*2</f>
        <v>3.76</v>
      </c>
      <c r="G67" s="360"/>
      <c r="H67" s="229"/>
      <c r="I67" s="360"/>
      <c r="J67" s="360"/>
      <c r="K67" s="360"/>
      <c r="L67" s="360"/>
      <c r="M67" s="360"/>
      <c r="N67" s="481">
        <v>17.7</v>
      </c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57"/>
      <c r="Z67" s="157"/>
      <c r="AA67" s="157"/>
      <c r="AB67" s="157"/>
      <c r="AC67" s="157"/>
      <c r="AD67" s="157"/>
    </row>
    <row r="68" spans="1:30" x14ac:dyDescent="0.25">
      <c r="B68" s="227" t="s">
        <v>191</v>
      </c>
      <c r="C68" s="171">
        <f>1.8*0.72</f>
        <v>1.3</v>
      </c>
      <c r="D68" s="229"/>
      <c r="E68" s="360"/>
      <c r="F68" s="360">
        <f>1.8*2+0.72*2</f>
        <v>5.04</v>
      </c>
      <c r="G68" s="360"/>
      <c r="H68" s="229"/>
      <c r="I68" s="360"/>
      <c r="J68" s="360"/>
      <c r="K68" s="360"/>
      <c r="L68" s="360"/>
      <c r="M68" s="360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157"/>
      <c r="Y68" s="157"/>
      <c r="Z68" s="157"/>
      <c r="AA68" s="157"/>
      <c r="AB68" s="157"/>
      <c r="AC68" s="157"/>
      <c r="AD68" s="157"/>
    </row>
    <row r="69" spans="1:30" x14ac:dyDescent="0.25">
      <c r="B69" s="227" t="s">
        <v>192</v>
      </c>
      <c r="C69" s="171">
        <f>0.72*1.05</f>
        <v>0.76</v>
      </c>
      <c r="D69" s="229"/>
      <c r="E69" s="360"/>
      <c r="F69" s="360">
        <f>0.72*2+1.05*2</f>
        <v>3.54</v>
      </c>
      <c r="G69" s="360"/>
      <c r="H69" s="229"/>
      <c r="I69" s="360"/>
      <c r="J69" s="360"/>
      <c r="K69" s="360"/>
      <c r="L69" s="360"/>
      <c r="M69" s="360"/>
      <c r="N69" s="157"/>
      <c r="O69" s="157"/>
      <c r="P69" s="157"/>
      <c r="Q69" s="157"/>
      <c r="R69" s="157"/>
      <c r="S69" s="157"/>
      <c r="T69" s="157"/>
      <c r="U69" s="157"/>
      <c r="V69" s="157"/>
      <c r="W69" s="157"/>
      <c r="X69" s="157"/>
      <c r="Y69" s="157"/>
      <c r="Z69" s="157"/>
      <c r="AA69" s="157"/>
      <c r="AB69" s="157"/>
      <c r="AC69" s="157"/>
      <c r="AD69" s="157"/>
    </row>
    <row r="70" spans="1:30" ht="15.75" customHeight="1" x14ac:dyDescent="0.25">
      <c r="B70" s="227" t="s">
        <v>193</v>
      </c>
      <c r="C70" s="171">
        <f>0.72*1.05</f>
        <v>0.76</v>
      </c>
      <c r="D70" s="229"/>
      <c r="E70" s="360"/>
      <c r="F70" s="360">
        <f>0.72*2+1.05*2</f>
        <v>3.54</v>
      </c>
      <c r="G70" s="360"/>
      <c r="H70" s="229"/>
      <c r="I70" s="360"/>
      <c r="J70" s="360"/>
      <c r="K70" s="360"/>
      <c r="L70" s="360"/>
      <c r="M70" s="360"/>
      <c r="N70" s="157"/>
      <c r="O70" s="157"/>
      <c r="P70" s="157"/>
      <c r="Q70" s="157"/>
      <c r="R70" s="157"/>
      <c r="S70" s="157"/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7"/>
    </row>
    <row r="71" spans="1:30" x14ac:dyDescent="0.25">
      <c r="B71" s="157"/>
      <c r="C71" s="480">
        <f>SUM(C59:C70)</f>
        <v>10.29</v>
      </c>
      <c r="D71" s="234"/>
      <c r="E71" s="360"/>
      <c r="F71" s="481">
        <f>SUM(F59:F70)</f>
        <v>45.78</v>
      </c>
      <c r="G71" s="360"/>
      <c r="H71" s="234"/>
      <c r="I71" s="360"/>
      <c r="J71" s="360"/>
      <c r="K71" s="360"/>
      <c r="L71" s="360"/>
      <c r="M71" s="360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57"/>
      <c r="Z71" s="157"/>
      <c r="AA71" s="157"/>
      <c r="AB71" s="157"/>
      <c r="AC71" s="157"/>
      <c r="AD71" s="157"/>
    </row>
    <row r="72" spans="1:30" x14ac:dyDescent="0.25">
      <c r="B72" s="157"/>
      <c r="C72" s="360"/>
      <c r="D72" s="234"/>
      <c r="E72" s="360"/>
      <c r="F72" s="360"/>
      <c r="G72" s="360"/>
      <c r="H72" s="234"/>
      <c r="I72" s="360"/>
      <c r="J72" s="360"/>
      <c r="K72" s="360"/>
      <c r="L72" s="360"/>
      <c r="M72" s="360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57"/>
      <c r="Y72" s="157"/>
      <c r="Z72" s="157"/>
      <c r="AA72" s="157"/>
      <c r="AB72" s="157"/>
      <c r="AC72" s="157"/>
      <c r="AD72" s="157"/>
    </row>
    <row r="73" spans="1:30" x14ac:dyDescent="0.25">
      <c r="B73" s="157"/>
      <c r="C73" s="226" t="s">
        <v>100</v>
      </c>
      <c r="D73" s="360"/>
      <c r="E73" s="227"/>
      <c r="F73" s="227"/>
      <c r="G73" s="360"/>
      <c r="H73" s="360"/>
      <c r="I73" s="360"/>
      <c r="J73" s="227"/>
      <c r="K73" s="227"/>
      <c r="L73" s="227"/>
      <c r="M73" s="227"/>
      <c r="N73" s="227"/>
      <c r="O73" s="227"/>
      <c r="P73" s="227"/>
      <c r="Q73" s="157"/>
      <c r="R73" s="157"/>
      <c r="S73" s="157"/>
      <c r="T73" s="157"/>
      <c r="U73" s="360"/>
      <c r="V73" s="361"/>
      <c r="W73" s="259"/>
      <c r="X73" s="157"/>
      <c r="Y73" s="157"/>
      <c r="Z73" s="157"/>
      <c r="AA73" s="157"/>
      <c r="AB73" s="157"/>
      <c r="AC73" s="157"/>
      <c r="AD73" s="157"/>
    </row>
    <row r="74" spans="1:30" x14ac:dyDescent="0.25">
      <c r="A74" s="1"/>
      <c r="B74" s="227"/>
      <c r="C74" s="228" t="s">
        <v>102</v>
      </c>
      <c r="D74" s="171"/>
      <c r="E74" s="522" t="s">
        <v>76</v>
      </c>
      <c r="F74" s="522"/>
      <c r="G74" s="229"/>
      <c r="H74" s="229"/>
      <c r="I74" s="522" t="s">
        <v>78</v>
      </c>
      <c r="J74" s="522"/>
      <c r="K74" s="522"/>
      <c r="L74" s="522"/>
      <c r="M74" s="522"/>
      <c r="N74" s="230"/>
      <c r="O74" s="231" t="s">
        <v>107</v>
      </c>
      <c r="P74" s="230"/>
      <c r="Q74" s="226"/>
      <c r="R74" s="231" t="s">
        <v>110</v>
      </c>
      <c r="S74" s="226"/>
      <c r="T74" s="157"/>
      <c r="U74" s="232" t="s">
        <v>111</v>
      </c>
      <c r="V74" s="232"/>
      <c r="W74" s="226"/>
      <c r="X74" s="280"/>
      <c r="Y74" s="157"/>
      <c r="Z74" s="157"/>
      <c r="AA74" s="157"/>
      <c r="AB74" s="157"/>
      <c r="AC74" s="157"/>
      <c r="AD74" s="157"/>
    </row>
    <row r="75" spans="1:30" x14ac:dyDescent="0.25">
      <c r="A75" s="1"/>
      <c r="B75" s="227" t="s">
        <v>201</v>
      </c>
      <c r="C75" s="171">
        <f>0.72*1.24</f>
        <v>0.89</v>
      </c>
      <c r="D75" s="171"/>
      <c r="E75" s="360"/>
      <c r="F75" s="171">
        <f>0.72*2+1.24*2</f>
        <v>3.92</v>
      </c>
      <c r="G75" s="171"/>
      <c r="H75" s="229"/>
      <c r="I75" s="360"/>
      <c r="J75" s="481">
        <v>105.5</v>
      </c>
      <c r="K75" s="229"/>
      <c r="L75" s="360"/>
      <c r="M75" s="360"/>
      <c r="N75" s="157"/>
      <c r="O75" s="157" t="s">
        <v>108</v>
      </c>
      <c r="P75" s="484">
        <f>13.9+12.4+30.8</f>
        <v>57.1</v>
      </c>
      <c r="Q75" s="157"/>
      <c r="R75" s="157" t="s">
        <v>214</v>
      </c>
      <c r="S75" s="484">
        <v>7.3</v>
      </c>
      <c r="T75" s="157"/>
      <c r="U75" s="157" t="s">
        <v>112</v>
      </c>
      <c r="V75" s="484">
        <f>11.4+2.44</f>
        <v>13.84</v>
      </c>
      <c r="W75" s="157"/>
      <c r="X75" s="157"/>
      <c r="Y75" s="157"/>
      <c r="Z75" s="157"/>
      <c r="AA75" s="157"/>
      <c r="AB75" s="157"/>
      <c r="AC75" s="157"/>
      <c r="AD75" s="157"/>
    </row>
    <row r="76" spans="1:30" x14ac:dyDescent="0.25">
      <c r="A76" s="1"/>
      <c r="B76" s="227" t="s">
        <v>202</v>
      </c>
      <c r="C76" s="171">
        <f>0.72*1.16</f>
        <v>0.84</v>
      </c>
      <c r="D76" s="171"/>
      <c r="E76" s="360"/>
      <c r="F76" s="171">
        <f>0.72*2+1.16*2</f>
        <v>3.76</v>
      </c>
      <c r="G76" s="171"/>
      <c r="H76" s="229"/>
      <c r="I76" s="360"/>
      <c r="J76" s="360"/>
      <c r="K76" s="234"/>
      <c r="L76" s="360"/>
      <c r="M76" s="360"/>
      <c r="N76" s="157"/>
      <c r="O76" s="157" t="s">
        <v>109</v>
      </c>
      <c r="P76" s="484">
        <v>15.24</v>
      </c>
      <c r="Q76" s="157"/>
      <c r="R76" s="157"/>
      <c r="S76" s="157"/>
      <c r="T76" s="157"/>
      <c r="U76" s="157" t="s">
        <v>113</v>
      </c>
      <c r="V76" s="484">
        <v>3.3</v>
      </c>
      <c r="W76" s="157"/>
      <c r="X76" s="157"/>
      <c r="Y76" s="157"/>
      <c r="Z76" s="157"/>
      <c r="AA76" s="157"/>
      <c r="AB76" s="157"/>
      <c r="AC76" s="157"/>
      <c r="AD76" s="157"/>
    </row>
    <row r="77" spans="1:30" x14ac:dyDescent="0.25">
      <c r="A77" s="1"/>
      <c r="B77" s="227" t="s">
        <v>204</v>
      </c>
      <c r="C77" s="171">
        <f>0.72*1.16</f>
        <v>0.84</v>
      </c>
      <c r="D77" s="171"/>
      <c r="E77" s="360"/>
      <c r="F77" s="171">
        <f t="shared" ref="F77" si="18">0.72*2+1.16*2</f>
        <v>3.76</v>
      </c>
      <c r="G77" s="171"/>
      <c r="H77" s="229"/>
      <c r="I77" s="522" t="s">
        <v>215</v>
      </c>
      <c r="J77" s="522"/>
      <c r="K77" s="522"/>
      <c r="L77" s="522"/>
      <c r="M77" s="360"/>
      <c r="N77" s="157"/>
      <c r="O77" s="157" t="s">
        <v>135</v>
      </c>
      <c r="P77" s="484">
        <v>1.05</v>
      </c>
      <c r="Q77" s="157"/>
      <c r="R77" s="157"/>
      <c r="S77" s="157"/>
      <c r="T77" s="157"/>
      <c r="U77" s="157" t="s">
        <v>114</v>
      </c>
      <c r="V77" s="484">
        <v>3.2</v>
      </c>
      <c r="W77" s="157"/>
      <c r="X77" s="157"/>
      <c r="Y77" s="157"/>
      <c r="Z77" s="157"/>
      <c r="AA77" s="157"/>
      <c r="AB77" s="157"/>
      <c r="AC77" s="157"/>
      <c r="AD77" s="157"/>
    </row>
    <row r="78" spans="1:30" x14ac:dyDescent="0.25">
      <c r="A78" s="115"/>
      <c r="B78" s="227" t="s">
        <v>203</v>
      </c>
      <c r="C78" s="171">
        <f>0.72*1.05</f>
        <v>0.76</v>
      </c>
      <c r="D78" s="171"/>
      <c r="E78" s="360"/>
      <c r="F78" s="171">
        <f>0.72*2+1.05*2</f>
        <v>3.54</v>
      </c>
      <c r="G78" s="171"/>
      <c r="H78" s="229"/>
      <c r="I78" s="360"/>
      <c r="J78" s="481">
        <v>84.6</v>
      </c>
      <c r="K78" s="235"/>
      <c r="L78" s="360"/>
      <c r="M78" s="360"/>
      <c r="N78" s="157"/>
      <c r="O78" s="157" t="s">
        <v>252</v>
      </c>
      <c r="P78" s="484">
        <f>18.8-1.05</f>
        <v>17.75</v>
      </c>
      <c r="Q78" s="157"/>
      <c r="R78" s="157"/>
      <c r="S78" s="157"/>
      <c r="T78" s="157"/>
      <c r="U78" s="157" t="s">
        <v>115</v>
      </c>
      <c r="V78" s="484">
        <v>0.7</v>
      </c>
      <c r="W78" s="157"/>
      <c r="X78" s="157"/>
      <c r="Y78" s="157"/>
      <c r="Z78" s="157"/>
      <c r="AA78" s="157"/>
      <c r="AB78" s="157"/>
      <c r="AC78" s="157"/>
      <c r="AD78" s="157"/>
    </row>
    <row r="79" spans="1:30" x14ac:dyDescent="0.25">
      <c r="A79" s="1"/>
      <c r="B79" s="227" t="s">
        <v>205</v>
      </c>
      <c r="C79" s="171">
        <f>0.72*1.16</f>
        <v>0.84</v>
      </c>
      <c r="D79" s="171"/>
      <c r="E79" s="360"/>
      <c r="F79" s="171">
        <f>0.72*2+1.16*2</f>
        <v>3.76</v>
      </c>
      <c r="G79" s="171"/>
      <c r="H79" s="229"/>
      <c r="I79" s="360"/>
      <c r="J79" s="360"/>
      <c r="K79" s="360"/>
      <c r="L79" s="360"/>
      <c r="M79" s="360"/>
      <c r="N79" s="157"/>
      <c r="O79" s="157"/>
      <c r="P79" s="157"/>
      <c r="Q79" s="157"/>
      <c r="R79" s="157"/>
      <c r="S79" s="157"/>
      <c r="T79" s="157"/>
      <c r="U79" s="157" t="s">
        <v>169</v>
      </c>
      <c r="V79" s="484">
        <v>7.3</v>
      </c>
      <c r="W79" s="157"/>
      <c r="X79" s="157"/>
      <c r="Y79" s="157"/>
      <c r="Z79" s="157"/>
      <c r="AA79" s="157"/>
      <c r="AB79" s="157"/>
      <c r="AC79" s="157"/>
      <c r="AD79" s="157"/>
    </row>
    <row r="80" spans="1:30" x14ac:dyDescent="0.25">
      <c r="A80" s="1"/>
      <c r="B80" s="227" t="s">
        <v>206</v>
      </c>
      <c r="C80" s="171">
        <f>0.72*1.05</f>
        <v>0.76</v>
      </c>
      <c r="D80" s="171"/>
      <c r="E80" s="360"/>
      <c r="F80" s="171">
        <f>0.72*2+1.05*2</f>
        <v>3.54</v>
      </c>
      <c r="G80" s="171"/>
      <c r="H80" s="229"/>
      <c r="I80" s="360"/>
      <c r="J80" s="360"/>
      <c r="K80" s="360"/>
      <c r="L80" s="360"/>
      <c r="M80" s="360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</row>
    <row r="81" spans="1:30" x14ac:dyDescent="0.25">
      <c r="A81" s="1"/>
      <c r="B81" s="227" t="s">
        <v>207</v>
      </c>
      <c r="C81" s="171">
        <f>0.72*1.16</f>
        <v>0.84</v>
      </c>
      <c r="D81" s="171"/>
      <c r="E81" s="360"/>
      <c r="F81" s="171">
        <f>0.72*2+1.16*2</f>
        <v>3.76</v>
      </c>
      <c r="G81" s="171"/>
      <c r="H81" s="229"/>
      <c r="I81" s="360"/>
      <c r="J81" s="360"/>
      <c r="K81" s="360"/>
      <c r="L81" s="360"/>
      <c r="M81" s="360"/>
      <c r="N81" s="157"/>
      <c r="O81" s="231"/>
      <c r="P81" s="230"/>
      <c r="Q81" s="226"/>
      <c r="R81" s="231"/>
      <c r="S81" s="226"/>
      <c r="T81" s="157"/>
      <c r="U81" s="232"/>
      <c r="V81" s="232"/>
      <c r="W81" s="157"/>
      <c r="X81" s="157"/>
      <c r="Y81" s="157"/>
      <c r="Z81" s="157"/>
      <c r="AA81" s="157"/>
      <c r="AB81" s="157"/>
      <c r="AC81" s="157"/>
      <c r="AD81" s="157"/>
    </row>
    <row r="82" spans="1:30" x14ac:dyDescent="0.25">
      <c r="A82" s="1"/>
      <c r="B82" s="227" t="s">
        <v>208</v>
      </c>
      <c r="C82" s="171">
        <f>0.72*1.24</f>
        <v>0.89</v>
      </c>
      <c r="D82" s="171"/>
      <c r="E82" s="360"/>
      <c r="F82" s="171">
        <f>0.72*2+1.24*2</f>
        <v>3.92</v>
      </c>
      <c r="G82" s="171"/>
      <c r="H82" s="229"/>
      <c r="I82" s="360"/>
      <c r="J82" s="360"/>
      <c r="K82" s="360"/>
      <c r="L82" s="360"/>
      <c r="M82" s="360"/>
      <c r="N82" s="157"/>
      <c r="O82" s="157"/>
      <c r="P82" s="233"/>
      <c r="Q82" s="157"/>
      <c r="R82" s="157"/>
      <c r="S82" s="233"/>
      <c r="T82" s="157"/>
      <c r="U82" s="157"/>
      <c r="V82" s="233"/>
      <c r="W82" s="157"/>
      <c r="X82" s="157"/>
      <c r="Y82" s="157"/>
      <c r="Z82" s="157"/>
      <c r="AA82" s="157"/>
      <c r="AB82" s="157"/>
      <c r="AC82" s="157"/>
      <c r="AD82" s="157"/>
    </row>
    <row r="83" spans="1:30" x14ac:dyDescent="0.25">
      <c r="A83" s="1"/>
      <c r="B83" s="227" t="s">
        <v>209</v>
      </c>
      <c r="C83" s="171">
        <f>0.72*1.16</f>
        <v>0.84</v>
      </c>
      <c r="D83" s="171"/>
      <c r="E83" s="360"/>
      <c r="F83" s="171">
        <f>0.72*2+1.16*2</f>
        <v>3.76</v>
      </c>
      <c r="G83" s="171"/>
      <c r="H83" s="229"/>
      <c r="I83" s="360"/>
      <c r="J83" s="360"/>
      <c r="K83" s="360"/>
      <c r="L83" s="360"/>
      <c r="M83" s="360"/>
      <c r="N83" s="157"/>
      <c r="O83" s="157"/>
      <c r="P83" s="233"/>
      <c r="Q83" s="157"/>
      <c r="R83" s="157"/>
      <c r="S83" s="157"/>
      <c r="T83" s="157"/>
      <c r="U83" s="157"/>
      <c r="V83" s="233"/>
      <c r="W83" s="157"/>
      <c r="X83" s="157"/>
      <c r="Y83" s="157"/>
      <c r="Z83" s="157"/>
      <c r="AA83" s="157"/>
      <c r="AB83" s="157"/>
      <c r="AC83" s="157"/>
      <c r="AD83" s="157"/>
    </row>
    <row r="84" spans="1:30" x14ac:dyDescent="0.25">
      <c r="A84" s="117"/>
      <c r="B84" s="227" t="s">
        <v>210</v>
      </c>
      <c r="C84" s="171">
        <f>0.72*1.8</f>
        <v>1.3</v>
      </c>
      <c r="D84" s="171"/>
      <c r="E84" s="360"/>
      <c r="F84" s="171">
        <f>0.72*2+1.8*2</f>
        <v>5.04</v>
      </c>
      <c r="G84" s="171"/>
      <c r="H84" s="229"/>
      <c r="I84" s="360"/>
      <c r="J84" s="360"/>
      <c r="K84" s="360"/>
      <c r="L84" s="360"/>
      <c r="M84" s="360"/>
      <c r="N84" s="157"/>
      <c r="O84" s="157"/>
      <c r="P84" s="233"/>
      <c r="Q84" s="157"/>
      <c r="R84" s="157"/>
      <c r="S84" s="157"/>
      <c r="T84" s="157"/>
      <c r="U84" s="157"/>
      <c r="V84" s="157"/>
      <c r="W84" s="157"/>
      <c r="X84" s="157"/>
      <c r="Y84" s="157"/>
      <c r="Z84" s="157"/>
      <c r="AA84" s="157"/>
      <c r="AB84" s="157"/>
      <c r="AC84" s="157"/>
      <c r="AD84" s="157"/>
    </row>
    <row r="85" spans="1:30" x14ac:dyDescent="0.25">
      <c r="A85" s="117"/>
      <c r="B85" s="227" t="s">
        <v>211</v>
      </c>
      <c r="C85" s="171">
        <f>0.72*1.05</f>
        <v>0.76</v>
      </c>
      <c r="D85" s="171"/>
      <c r="E85" s="360"/>
      <c r="F85" s="171">
        <f>0.72*2+1.05*2</f>
        <v>3.54</v>
      </c>
      <c r="G85" s="171"/>
      <c r="H85" s="229"/>
      <c r="I85" s="360"/>
      <c r="J85" s="360"/>
      <c r="K85" s="360"/>
      <c r="L85" s="360"/>
      <c r="M85" s="360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57"/>
      <c r="Z85" s="157"/>
      <c r="AA85" s="157"/>
      <c r="AB85" s="157"/>
      <c r="AC85" s="157"/>
      <c r="AD85" s="157"/>
    </row>
    <row r="86" spans="1:30" x14ac:dyDescent="0.25">
      <c r="A86" s="1"/>
      <c r="B86" s="227" t="s">
        <v>212</v>
      </c>
      <c r="C86" s="171">
        <f>0.72*1.16</f>
        <v>0.84</v>
      </c>
      <c r="D86" s="171"/>
      <c r="E86" s="360"/>
      <c r="F86" s="171">
        <f>0.72*2+1.16*2</f>
        <v>3.76</v>
      </c>
      <c r="G86" s="171"/>
      <c r="H86" s="229"/>
      <c r="I86" s="360"/>
      <c r="J86" s="360"/>
      <c r="K86" s="360"/>
      <c r="L86" s="360"/>
      <c r="M86" s="360"/>
      <c r="N86" s="157"/>
      <c r="O86" s="157"/>
      <c r="P86" s="157"/>
      <c r="Q86" s="157"/>
      <c r="R86" s="157"/>
      <c r="S86" s="157"/>
      <c r="T86" s="157"/>
      <c r="U86" s="157"/>
      <c r="V86" s="157"/>
      <c r="W86" s="157"/>
      <c r="X86" s="157"/>
      <c r="Y86" s="157"/>
      <c r="Z86" s="157"/>
      <c r="AA86" s="157"/>
      <c r="AB86" s="157"/>
      <c r="AC86" s="157"/>
      <c r="AD86" s="157"/>
    </row>
    <row r="87" spans="1:30" x14ac:dyDescent="0.25">
      <c r="A87" s="1"/>
      <c r="B87" s="227" t="s">
        <v>213</v>
      </c>
      <c r="C87" s="483">
        <f>0.72*1.24</f>
        <v>0.89</v>
      </c>
      <c r="D87" s="236"/>
      <c r="E87" s="360"/>
      <c r="F87" s="171">
        <f>0.72*2+1.24*2</f>
        <v>3.92</v>
      </c>
      <c r="G87" s="171"/>
      <c r="H87" s="234"/>
      <c r="I87" s="360"/>
      <c r="J87" s="360"/>
      <c r="K87" s="360"/>
      <c r="L87" s="360"/>
      <c r="M87" s="360"/>
      <c r="N87" s="157"/>
      <c r="O87" s="157"/>
      <c r="P87" s="157"/>
      <c r="Q87" s="157"/>
      <c r="R87" s="157"/>
      <c r="S87" s="157"/>
      <c r="T87" s="157"/>
      <c r="U87" s="157"/>
      <c r="V87" s="157"/>
      <c r="W87" s="157"/>
      <c r="X87" s="157"/>
      <c r="Y87" s="157"/>
      <c r="Z87" s="157"/>
      <c r="AA87" s="157"/>
      <c r="AB87" s="157"/>
      <c r="AC87" s="157"/>
      <c r="AD87" s="157"/>
    </row>
    <row r="88" spans="1:30" x14ac:dyDescent="0.25">
      <c r="B88" s="157"/>
      <c r="C88" s="480">
        <f>SUM(C75:C87)</f>
        <v>11.29</v>
      </c>
      <c r="D88" s="171"/>
      <c r="E88" s="360"/>
      <c r="F88" s="480">
        <f>SUM(F75:F87)</f>
        <v>49.98</v>
      </c>
      <c r="G88" s="235"/>
      <c r="H88" s="360"/>
      <c r="I88" s="360"/>
      <c r="J88" s="360"/>
      <c r="K88" s="360"/>
      <c r="L88" s="360"/>
      <c r="M88" s="360"/>
      <c r="N88" s="157"/>
      <c r="O88" s="157"/>
      <c r="P88" s="157"/>
      <c r="Q88" s="157"/>
      <c r="R88" s="157"/>
      <c r="S88" s="157"/>
      <c r="T88" s="157"/>
      <c r="U88" s="157"/>
      <c r="V88" s="157"/>
      <c r="W88" s="157"/>
      <c r="X88" s="157"/>
      <c r="Y88" s="157"/>
      <c r="Z88" s="157"/>
      <c r="AA88" s="157"/>
      <c r="AB88" s="157"/>
      <c r="AC88" s="157"/>
      <c r="AD88" s="157"/>
    </row>
    <row r="89" spans="1:30" x14ac:dyDescent="0.25">
      <c r="B89" s="157"/>
      <c r="C89" s="235"/>
      <c r="D89" s="360"/>
      <c r="E89" s="360"/>
      <c r="F89" s="235"/>
      <c r="G89" s="360"/>
      <c r="H89" s="360"/>
      <c r="I89" s="360"/>
      <c r="J89" s="360"/>
      <c r="K89" s="360"/>
      <c r="L89" s="360"/>
      <c r="M89" s="360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</row>
    <row r="90" spans="1:30" x14ac:dyDescent="0.25">
      <c r="B90" s="157"/>
      <c r="C90" s="226" t="s">
        <v>134</v>
      </c>
      <c r="D90" s="360"/>
      <c r="E90" s="360"/>
      <c r="F90" s="360"/>
      <c r="G90" s="227"/>
      <c r="H90" s="227"/>
      <c r="I90" s="227"/>
      <c r="J90" s="227"/>
      <c r="K90" s="227"/>
      <c r="L90" s="157"/>
      <c r="M90" s="227"/>
      <c r="N90" s="227"/>
      <c r="O90" s="227"/>
      <c r="P90" s="227"/>
      <c r="Q90" s="157"/>
      <c r="R90" s="157"/>
      <c r="S90" s="157"/>
      <c r="T90" s="157"/>
      <c r="U90" s="157"/>
      <c r="V90" s="157"/>
      <c r="W90" s="157"/>
      <c r="X90" s="157"/>
      <c r="Y90" s="157"/>
      <c r="Z90" s="157"/>
      <c r="AA90" s="157"/>
      <c r="AB90" s="157"/>
      <c r="AC90" s="157"/>
      <c r="AD90" s="157"/>
    </row>
    <row r="91" spans="1:30" x14ac:dyDescent="0.25">
      <c r="B91" s="227"/>
      <c r="C91" s="228" t="s">
        <v>102</v>
      </c>
      <c r="D91" s="171"/>
      <c r="E91" s="522" t="s">
        <v>76</v>
      </c>
      <c r="F91" s="522"/>
      <c r="G91" s="229"/>
      <c r="H91" s="171"/>
      <c r="I91" s="522" t="s">
        <v>215</v>
      </c>
      <c r="J91" s="522"/>
      <c r="K91" s="522"/>
      <c r="L91" s="522"/>
      <c r="M91" s="230"/>
      <c r="N91" s="230"/>
      <c r="O91" s="231" t="s">
        <v>107</v>
      </c>
      <c r="P91" s="230"/>
      <c r="Q91" s="226"/>
      <c r="R91" s="231" t="s">
        <v>110</v>
      </c>
      <c r="S91" s="226"/>
      <c r="T91" s="157"/>
      <c r="U91" s="232" t="s">
        <v>111</v>
      </c>
      <c r="V91" s="157"/>
      <c r="W91" s="157"/>
      <c r="X91" s="157"/>
      <c r="Y91" s="157"/>
      <c r="Z91" s="157"/>
      <c r="AA91" s="157"/>
      <c r="AB91" s="157"/>
      <c r="AC91" s="157"/>
      <c r="AD91" s="157"/>
    </row>
    <row r="92" spans="1:30" x14ac:dyDescent="0.25">
      <c r="A92" s="173">
        <v>1</v>
      </c>
      <c r="B92" s="227" t="s">
        <v>101</v>
      </c>
      <c r="C92" s="171">
        <f>0.72*1.16</f>
        <v>0.84</v>
      </c>
      <c r="D92" s="171"/>
      <c r="E92" s="360"/>
      <c r="F92" s="171">
        <f>0.72*2+1.16*2</f>
        <v>3.76</v>
      </c>
      <c r="G92" s="229"/>
      <c r="H92" s="171"/>
      <c r="I92" s="360"/>
      <c r="J92" s="481">
        <v>115.75</v>
      </c>
      <c r="K92" s="360"/>
      <c r="L92" s="360"/>
      <c r="M92" s="360"/>
      <c r="N92" s="157"/>
      <c r="O92" s="157" t="s">
        <v>108</v>
      </c>
      <c r="P92" s="489">
        <f>46.7+31.9+10</f>
        <v>88.6</v>
      </c>
      <c r="Q92" s="157"/>
      <c r="R92" s="157" t="s">
        <v>116</v>
      </c>
      <c r="S92" s="484">
        <v>13.7</v>
      </c>
      <c r="T92" s="157"/>
      <c r="U92" s="157" t="s">
        <v>112</v>
      </c>
      <c r="V92" s="484">
        <v>19.7</v>
      </c>
      <c r="W92" s="157"/>
      <c r="X92" s="157"/>
      <c r="Y92" s="157"/>
      <c r="Z92" s="157"/>
      <c r="AA92" s="157"/>
      <c r="AB92" s="157"/>
      <c r="AC92" s="157"/>
      <c r="AD92" s="157"/>
    </row>
    <row r="93" spans="1:30" x14ac:dyDescent="0.25">
      <c r="A93" s="173">
        <v>2</v>
      </c>
      <c r="B93" s="227" t="s">
        <v>101</v>
      </c>
      <c r="C93" s="171">
        <f>1.24*0.72</f>
        <v>0.89</v>
      </c>
      <c r="D93" s="171"/>
      <c r="E93" s="360"/>
      <c r="F93" s="171">
        <f>1.24*2+0.72*2</f>
        <v>3.92</v>
      </c>
      <c r="G93" s="229"/>
      <c r="H93" s="171"/>
      <c r="I93" s="360"/>
      <c r="J93" s="360"/>
      <c r="K93" s="360"/>
      <c r="L93" s="360"/>
      <c r="M93" s="360"/>
      <c r="N93" s="157"/>
      <c r="O93" s="157" t="s">
        <v>109</v>
      </c>
      <c r="P93" s="484">
        <v>14.15</v>
      </c>
      <c r="Q93" s="157"/>
      <c r="R93" s="157"/>
      <c r="S93" s="157"/>
      <c r="T93" s="157"/>
      <c r="U93" s="157"/>
      <c r="V93" s="157"/>
      <c r="W93" s="157"/>
      <c r="X93" s="157"/>
      <c r="Y93" s="157"/>
      <c r="Z93" s="157"/>
      <c r="AA93" s="157"/>
      <c r="AB93" s="157"/>
      <c r="AC93" s="157"/>
      <c r="AD93" s="157"/>
    </row>
    <row r="94" spans="1:30" x14ac:dyDescent="0.25">
      <c r="A94" s="173">
        <v>3</v>
      </c>
      <c r="B94" s="227" t="s">
        <v>101</v>
      </c>
      <c r="C94" s="171">
        <f>0.72*1.8</f>
        <v>1.3</v>
      </c>
      <c r="D94" s="171"/>
      <c r="E94" s="360"/>
      <c r="F94" s="171">
        <f>0.72*2+1.8*2</f>
        <v>5.04</v>
      </c>
      <c r="G94" s="229"/>
      <c r="H94" s="171"/>
      <c r="I94" s="360"/>
      <c r="J94" s="360"/>
      <c r="K94" s="360"/>
      <c r="L94" s="360"/>
      <c r="M94" s="360"/>
      <c r="N94" s="157"/>
      <c r="O94" s="157" t="s">
        <v>135</v>
      </c>
      <c r="P94" s="484">
        <v>1.05</v>
      </c>
      <c r="Q94" s="157"/>
      <c r="R94" s="157"/>
      <c r="S94" s="157"/>
      <c r="T94" s="157"/>
      <c r="U94" s="157"/>
      <c r="V94" s="157"/>
      <c r="W94" s="157"/>
      <c r="X94" s="157"/>
      <c r="Y94" s="157"/>
      <c r="Z94" s="157"/>
      <c r="AA94" s="157"/>
      <c r="AB94" s="157"/>
      <c r="AC94" s="157"/>
      <c r="AD94" s="157"/>
    </row>
    <row r="95" spans="1:30" x14ac:dyDescent="0.25">
      <c r="A95" s="173">
        <v>4</v>
      </c>
      <c r="B95" s="227" t="s">
        <v>101</v>
      </c>
      <c r="C95" s="171">
        <f>0.72*1.16</f>
        <v>0.84</v>
      </c>
      <c r="D95" s="171"/>
      <c r="E95" s="360"/>
      <c r="F95" s="171">
        <f>0.72*2+1.16*2</f>
        <v>3.76</v>
      </c>
      <c r="G95" s="229"/>
      <c r="H95" s="171"/>
      <c r="I95" s="360"/>
      <c r="J95" s="360"/>
      <c r="K95" s="360"/>
      <c r="L95" s="360"/>
      <c r="M95" s="360"/>
      <c r="N95" s="157"/>
      <c r="O95" s="157" t="s">
        <v>137</v>
      </c>
      <c r="P95" s="484">
        <v>1.5</v>
      </c>
      <c r="Q95" s="157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</row>
    <row r="96" spans="1:30" x14ac:dyDescent="0.25">
      <c r="A96" s="173">
        <v>5</v>
      </c>
      <c r="B96" s="227" t="s">
        <v>101</v>
      </c>
      <c r="C96" s="171">
        <f>0.72*1.05</f>
        <v>0.76</v>
      </c>
      <c r="D96" s="171"/>
      <c r="E96" s="360"/>
      <c r="F96" s="171">
        <f>0.72*2+1.05*2</f>
        <v>3.54</v>
      </c>
      <c r="G96" s="229"/>
      <c r="H96" s="171"/>
      <c r="I96" s="360"/>
      <c r="J96" s="360"/>
      <c r="K96" s="360"/>
      <c r="L96" s="360"/>
      <c r="M96" s="360"/>
      <c r="N96" s="157"/>
      <c r="O96" s="157" t="s">
        <v>253</v>
      </c>
      <c r="P96" s="490">
        <f>16.7-1.05</f>
        <v>15.7</v>
      </c>
      <c r="Q96" s="157"/>
      <c r="R96" s="157"/>
      <c r="S96" s="157"/>
      <c r="T96" s="157"/>
      <c r="U96" s="157"/>
      <c r="V96" s="157"/>
      <c r="W96" s="157"/>
      <c r="X96" s="157"/>
      <c r="Y96" s="157"/>
      <c r="Z96" s="157"/>
      <c r="AA96" s="157"/>
      <c r="AB96" s="157"/>
      <c r="AC96" s="157"/>
      <c r="AD96" s="157"/>
    </row>
    <row r="97" spans="1:30" x14ac:dyDescent="0.25">
      <c r="A97" s="173">
        <v>6</v>
      </c>
      <c r="B97" s="227" t="s">
        <v>101</v>
      </c>
      <c r="C97" s="171">
        <f>1.05*0.72</f>
        <v>0.76</v>
      </c>
      <c r="D97" s="171"/>
      <c r="E97" s="360"/>
      <c r="F97" s="171">
        <f>1.05*2+0.72*2</f>
        <v>3.54</v>
      </c>
      <c r="G97" s="229"/>
      <c r="H97" s="171"/>
      <c r="I97" s="360"/>
      <c r="J97" s="360"/>
      <c r="K97" s="360"/>
      <c r="L97" s="360"/>
      <c r="M97" s="360"/>
      <c r="N97" s="157"/>
      <c r="O97" s="157"/>
      <c r="P97" s="157"/>
      <c r="Q97" s="157"/>
      <c r="R97" s="157"/>
      <c r="S97" s="157"/>
      <c r="T97" s="157"/>
      <c r="U97" s="157"/>
      <c r="V97" s="157"/>
      <c r="W97" s="157"/>
      <c r="X97" s="157"/>
      <c r="Y97" s="157"/>
      <c r="Z97" s="157"/>
      <c r="AA97" s="157"/>
      <c r="AB97" s="157"/>
      <c r="AC97" s="157"/>
      <c r="AD97" s="157"/>
    </row>
    <row r="98" spans="1:30" x14ac:dyDescent="0.25">
      <c r="A98" s="173">
        <v>7</v>
      </c>
      <c r="B98" s="227" t="s">
        <v>101</v>
      </c>
      <c r="C98" s="171">
        <f>1.16*0.72</f>
        <v>0.84</v>
      </c>
      <c r="D98" s="171"/>
      <c r="E98" s="360"/>
      <c r="F98" s="171">
        <f>0.72*2+1.16*2</f>
        <v>3.76</v>
      </c>
      <c r="G98" s="229"/>
      <c r="H98" s="235"/>
      <c r="I98" s="360"/>
      <c r="J98" s="360"/>
      <c r="K98" s="360"/>
      <c r="L98" s="360"/>
      <c r="M98" s="360"/>
      <c r="N98" s="157"/>
      <c r="O98" s="227"/>
      <c r="P98" s="227"/>
      <c r="Q98" s="157"/>
      <c r="R98" s="157"/>
      <c r="S98" s="157"/>
      <c r="T98" s="157"/>
      <c r="U98" s="360"/>
      <c r="V98" s="361"/>
      <c r="W98" s="157"/>
      <c r="X98" s="157"/>
      <c r="Y98" s="157"/>
      <c r="Z98" s="157"/>
      <c r="AA98" s="157"/>
      <c r="AB98" s="157"/>
      <c r="AC98" s="157"/>
      <c r="AD98" s="157"/>
    </row>
    <row r="99" spans="1:30" x14ac:dyDescent="0.25">
      <c r="A99" s="173">
        <v>8</v>
      </c>
      <c r="B99" s="227" t="s">
        <v>101</v>
      </c>
      <c r="C99" s="171">
        <f>0.72*1.16</f>
        <v>0.84</v>
      </c>
      <c r="D99" s="171"/>
      <c r="E99" s="360"/>
      <c r="F99" s="171">
        <f>0.72*2+1.16*2</f>
        <v>3.76</v>
      </c>
      <c r="G99" s="229"/>
      <c r="H99" s="360"/>
      <c r="I99" s="360"/>
      <c r="J99" s="360"/>
      <c r="K99" s="360"/>
      <c r="L99" s="360"/>
      <c r="M99" s="360"/>
      <c r="N99" s="157"/>
      <c r="O99" s="231"/>
      <c r="P99" s="230"/>
      <c r="Q99" s="226"/>
      <c r="R99" s="231"/>
      <c r="S99" s="226"/>
      <c r="T99" s="157"/>
      <c r="U99" s="232"/>
      <c r="V99" s="232"/>
      <c r="W99" s="157"/>
      <c r="X99" s="157"/>
      <c r="Y99" s="157"/>
      <c r="Z99" s="157"/>
      <c r="AA99" s="157"/>
      <c r="AB99" s="157"/>
      <c r="AC99" s="157"/>
      <c r="AD99" s="157"/>
    </row>
    <row r="100" spans="1:30" x14ac:dyDescent="0.25">
      <c r="A100" s="173">
        <v>9</v>
      </c>
      <c r="B100" s="227" t="s">
        <v>101</v>
      </c>
      <c r="C100" s="171">
        <f>0.72*1.05</f>
        <v>0.76</v>
      </c>
      <c r="D100" s="171"/>
      <c r="E100" s="360"/>
      <c r="F100" s="171">
        <f>0.72*2+1.05*2</f>
        <v>3.54</v>
      </c>
      <c r="G100" s="229"/>
      <c r="H100" s="360"/>
      <c r="I100" s="360"/>
      <c r="J100" s="360"/>
      <c r="K100" s="360"/>
      <c r="L100" s="360"/>
      <c r="M100" s="360"/>
      <c r="N100" s="157"/>
      <c r="O100" s="157"/>
      <c r="P100" s="233"/>
      <c r="Q100" s="157"/>
      <c r="R100" s="157"/>
      <c r="S100" s="233"/>
      <c r="T100" s="157"/>
      <c r="U100" s="157"/>
      <c r="V100" s="233"/>
      <c r="W100" s="157"/>
      <c r="X100" s="157"/>
      <c r="Y100" s="157"/>
      <c r="Z100" s="157"/>
      <c r="AA100" s="157"/>
      <c r="AB100" s="157"/>
      <c r="AC100" s="157"/>
      <c r="AD100" s="157"/>
    </row>
    <row r="101" spans="1:30" x14ac:dyDescent="0.25">
      <c r="A101" s="173">
        <v>10</v>
      </c>
      <c r="B101" s="227" t="s">
        <v>101</v>
      </c>
      <c r="C101" s="171">
        <f>0.72*1.24</f>
        <v>0.89</v>
      </c>
      <c r="D101" s="171"/>
      <c r="E101" s="360"/>
      <c r="F101" s="171">
        <f>0.72*2+1.24*2</f>
        <v>3.92</v>
      </c>
      <c r="G101" s="229"/>
      <c r="H101" s="360"/>
      <c r="I101" s="360"/>
      <c r="J101" s="360"/>
      <c r="K101" s="360"/>
      <c r="L101" s="360"/>
      <c r="M101" s="360"/>
      <c r="N101" s="157"/>
      <c r="O101" s="157"/>
      <c r="P101" s="233"/>
      <c r="Q101" s="157"/>
      <c r="R101" s="157"/>
      <c r="S101" s="157"/>
      <c r="T101" s="157"/>
      <c r="U101" s="157"/>
      <c r="V101" s="233"/>
      <c r="W101" s="157"/>
      <c r="X101" s="157"/>
      <c r="Y101" s="157"/>
      <c r="Z101" s="157"/>
      <c r="AA101" s="157"/>
      <c r="AB101" s="157"/>
      <c r="AC101" s="157"/>
      <c r="AD101" s="157"/>
    </row>
    <row r="102" spans="1:30" x14ac:dyDescent="0.25">
      <c r="A102" s="173">
        <v>11</v>
      </c>
      <c r="B102" s="227" t="s">
        <v>101</v>
      </c>
      <c r="C102" s="171">
        <f>1.16*0.72</f>
        <v>0.84</v>
      </c>
      <c r="D102" s="171"/>
      <c r="E102" s="360"/>
      <c r="F102" s="171">
        <f>1.16*2+0.72*2</f>
        <v>3.76</v>
      </c>
      <c r="G102" s="229"/>
      <c r="H102" s="360"/>
      <c r="I102" s="360"/>
      <c r="J102" s="360"/>
      <c r="K102" s="360"/>
      <c r="L102" s="360"/>
      <c r="M102" s="360"/>
      <c r="N102" s="157"/>
      <c r="O102" s="157"/>
      <c r="P102" s="233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</row>
    <row r="103" spans="1:30" x14ac:dyDescent="0.25">
      <c r="A103" s="173">
        <v>12</v>
      </c>
      <c r="B103" s="227" t="s">
        <v>101</v>
      </c>
      <c r="C103" s="171">
        <v>4</v>
      </c>
      <c r="D103" s="171"/>
      <c r="E103" s="360"/>
      <c r="F103" s="171">
        <v>9.68</v>
      </c>
      <c r="G103" s="229"/>
      <c r="H103" s="360"/>
      <c r="I103" s="360"/>
      <c r="J103" s="360"/>
      <c r="K103" s="360"/>
      <c r="L103" s="360"/>
      <c r="M103" s="360"/>
      <c r="N103" s="157"/>
      <c r="O103" s="157"/>
      <c r="P103" s="157"/>
      <c r="Q103" s="157"/>
      <c r="R103" s="157"/>
      <c r="S103" s="157"/>
      <c r="T103" s="157"/>
      <c r="U103" s="157"/>
      <c r="V103" s="157"/>
      <c r="W103" s="157"/>
      <c r="X103" s="157"/>
      <c r="Y103" s="157"/>
      <c r="Z103" s="157"/>
      <c r="AA103" s="157"/>
      <c r="AB103" s="157"/>
      <c r="AC103" s="157"/>
      <c r="AD103" s="157"/>
    </row>
    <row r="104" spans="1:30" x14ac:dyDescent="0.25">
      <c r="A104" s="173">
        <v>13</v>
      </c>
      <c r="B104" s="227" t="s">
        <v>101</v>
      </c>
      <c r="C104" s="172">
        <f>1.05*0.72</f>
        <v>0.76</v>
      </c>
      <c r="D104" s="236"/>
      <c r="E104" s="360"/>
      <c r="F104" s="171">
        <f>0.72*2+1.05*2</f>
        <v>3.54</v>
      </c>
      <c r="G104" s="360"/>
      <c r="H104" s="360"/>
      <c r="I104" s="360"/>
      <c r="J104" s="360"/>
      <c r="K104" s="360"/>
      <c r="L104" s="360"/>
      <c r="M104" s="360"/>
      <c r="N104" s="157"/>
      <c r="O104" s="157"/>
      <c r="P104" s="157"/>
      <c r="Q104" s="157"/>
      <c r="R104" s="157"/>
      <c r="S104" s="157"/>
      <c r="T104" s="157"/>
      <c r="U104" s="157"/>
      <c r="V104" s="157"/>
      <c r="W104" s="157"/>
      <c r="X104" s="157"/>
      <c r="Y104" s="157"/>
      <c r="Z104" s="157"/>
      <c r="AA104" s="157"/>
      <c r="AB104" s="157"/>
      <c r="AC104" s="157"/>
      <c r="AD104" s="157"/>
    </row>
    <row r="105" spans="1:30" x14ac:dyDescent="0.25">
      <c r="A105" s="173">
        <v>14</v>
      </c>
      <c r="B105" s="227" t="s">
        <v>101</v>
      </c>
      <c r="C105" s="172">
        <f>1.8*0.72</f>
        <v>1.3</v>
      </c>
      <c r="D105" s="360"/>
      <c r="E105" s="360"/>
      <c r="F105" s="171">
        <f>1.8*2+0.72*2</f>
        <v>5.04</v>
      </c>
      <c r="G105" s="360"/>
      <c r="H105" s="360"/>
      <c r="I105" s="360"/>
      <c r="J105" s="360"/>
      <c r="K105" s="360"/>
      <c r="L105" s="360"/>
      <c r="M105" s="360"/>
      <c r="N105" s="157"/>
      <c r="O105" s="157"/>
      <c r="P105" s="157"/>
      <c r="Q105" s="157"/>
      <c r="R105" s="157"/>
      <c r="S105" s="157"/>
      <c r="T105" s="157"/>
      <c r="U105" s="157"/>
      <c r="V105" s="157"/>
      <c r="W105" s="157"/>
      <c r="X105" s="157"/>
      <c r="Y105" s="157"/>
      <c r="Z105" s="157"/>
      <c r="AA105" s="157"/>
      <c r="AB105" s="157"/>
      <c r="AC105" s="157"/>
      <c r="AD105" s="157"/>
    </row>
    <row r="106" spans="1:30" x14ac:dyDescent="0.25">
      <c r="A106" s="173">
        <v>15</v>
      </c>
      <c r="B106" s="227" t="s">
        <v>101</v>
      </c>
      <c r="C106" s="360">
        <v>1.65</v>
      </c>
      <c r="D106" s="360"/>
      <c r="E106" s="360"/>
      <c r="F106" s="360">
        <v>5.28</v>
      </c>
      <c r="G106" s="360"/>
      <c r="H106" s="360"/>
      <c r="I106" s="360"/>
      <c r="J106" s="360"/>
      <c r="K106" s="360"/>
      <c r="L106" s="360"/>
      <c r="M106" s="360"/>
      <c r="N106" s="157"/>
      <c r="O106" s="157"/>
      <c r="P106" s="157"/>
      <c r="Q106" s="157"/>
      <c r="R106" s="157"/>
      <c r="S106" s="157"/>
      <c r="T106" s="157"/>
      <c r="U106" s="157"/>
      <c r="V106" s="157"/>
      <c r="W106" s="157"/>
      <c r="X106" s="157"/>
      <c r="Y106" s="157"/>
      <c r="Z106" s="157"/>
      <c r="AA106" s="157"/>
      <c r="AB106" s="157"/>
      <c r="AC106" s="157"/>
      <c r="AD106" s="157"/>
    </row>
    <row r="107" spans="1:30" x14ac:dyDescent="0.25">
      <c r="A107" s="173">
        <v>16</v>
      </c>
      <c r="B107" s="227" t="s">
        <v>101</v>
      </c>
      <c r="C107" s="171">
        <v>2.48</v>
      </c>
      <c r="D107" s="360"/>
      <c r="E107" s="360"/>
      <c r="F107" s="171">
        <v>7.57</v>
      </c>
      <c r="G107" s="360"/>
      <c r="H107" s="360"/>
      <c r="I107" s="360"/>
      <c r="J107" s="360"/>
      <c r="K107" s="360"/>
      <c r="L107" s="360"/>
      <c r="M107" s="360"/>
      <c r="N107" s="157"/>
      <c r="O107" s="157"/>
      <c r="P107" s="157"/>
      <c r="Q107" s="157"/>
      <c r="R107" s="157"/>
      <c r="S107" s="157"/>
      <c r="T107" s="157"/>
      <c r="U107" s="157"/>
      <c r="V107" s="157"/>
      <c r="W107" s="157"/>
      <c r="X107" s="157"/>
      <c r="Y107" s="157"/>
      <c r="Z107" s="157"/>
      <c r="AA107" s="157"/>
      <c r="AB107" s="157"/>
      <c r="AC107" s="157"/>
      <c r="AD107" s="157"/>
    </row>
    <row r="108" spans="1:30" x14ac:dyDescent="0.25">
      <c r="A108" s="173">
        <v>17</v>
      </c>
      <c r="B108" s="227" t="s">
        <v>101</v>
      </c>
      <c r="C108" s="171">
        <f>0.72*1.8</f>
        <v>1.3</v>
      </c>
      <c r="D108" s="360"/>
      <c r="E108" s="360"/>
      <c r="F108" s="171">
        <f>1.8*2+0.72*2</f>
        <v>5.04</v>
      </c>
      <c r="G108" s="360"/>
      <c r="H108" s="360"/>
      <c r="I108" s="360"/>
      <c r="J108" s="360"/>
      <c r="K108" s="360"/>
      <c r="L108" s="360"/>
      <c r="M108" s="360"/>
      <c r="N108" s="157"/>
      <c r="O108" s="157"/>
      <c r="P108" s="157"/>
      <c r="Q108" s="157"/>
      <c r="R108" s="157"/>
      <c r="S108" s="157"/>
      <c r="T108" s="157"/>
      <c r="U108" s="157"/>
      <c r="V108" s="157"/>
      <c r="W108" s="157"/>
      <c r="X108" s="157"/>
      <c r="Y108" s="157"/>
      <c r="Z108" s="157"/>
      <c r="AA108" s="157"/>
      <c r="AB108" s="157"/>
      <c r="AC108" s="157"/>
      <c r="AD108" s="157"/>
    </row>
    <row r="109" spans="1:30" x14ac:dyDescent="0.25">
      <c r="A109" s="173">
        <v>18</v>
      </c>
      <c r="B109" s="227" t="s">
        <v>101</v>
      </c>
      <c r="C109" s="171">
        <f>0.72*1.16</f>
        <v>0.84</v>
      </c>
      <c r="D109" s="360"/>
      <c r="E109" s="360"/>
      <c r="F109" s="171">
        <f>0.72*2+1.16*2</f>
        <v>3.76</v>
      </c>
      <c r="G109" s="360"/>
      <c r="H109" s="360"/>
      <c r="I109" s="360"/>
      <c r="J109" s="360"/>
      <c r="K109" s="360"/>
      <c r="L109" s="360"/>
      <c r="M109" s="360"/>
      <c r="N109" s="157"/>
      <c r="O109" s="157"/>
      <c r="P109" s="157"/>
      <c r="Q109" s="157"/>
      <c r="R109" s="157"/>
      <c r="S109" s="157"/>
      <c r="T109" s="157"/>
      <c r="U109" s="157"/>
      <c r="V109" s="157"/>
      <c r="W109" s="157"/>
      <c r="X109" s="157"/>
      <c r="Y109" s="157"/>
      <c r="Z109" s="157"/>
      <c r="AA109" s="157"/>
      <c r="AB109" s="157"/>
      <c r="AC109" s="157"/>
      <c r="AD109" s="157"/>
    </row>
    <row r="110" spans="1:30" x14ac:dyDescent="0.25">
      <c r="A110" s="173">
        <v>19</v>
      </c>
      <c r="B110" s="227" t="s">
        <v>101</v>
      </c>
      <c r="C110" s="171">
        <f>0.72*1.24</f>
        <v>0.89</v>
      </c>
      <c r="D110" s="360"/>
      <c r="E110" s="360"/>
      <c r="F110" s="360">
        <f>0.72*2+1.24*2</f>
        <v>3.92</v>
      </c>
      <c r="G110" s="360"/>
      <c r="H110" s="360"/>
      <c r="I110" s="360"/>
      <c r="J110" s="360"/>
      <c r="K110" s="360"/>
      <c r="L110" s="360"/>
      <c r="M110" s="360"/>
      <c r="N110" s="157"/>
      <c r="O110" s="157"/>
      <c r="P110" s="157"/>
      <c r="Q110" s="157"/>
      <c r="R110" s="157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</row>
    <row r="111" spans="1:30" x14ac:dyDescent="0.25">
      <c r="A111" s="220">
        <v>20</v>
      </c>
      <c r="B111" s="227" t="s">
        <v>101</v>
      </c>
      <c r="C111" s="360">
        <v>10.1</v>
      </c>
      <c r="D111" s="360"/>
      <c r="E111" s="360"/>
      <c r="F111" s="360">
        <v>13.7</v>
      </c>
      <c r="G111" s="360"/>
      <c r="H111" s="360"/>
      <c r="I111" s="360"/>
      <c r="J111" s="360"/>
      <c r="K111" s="360"/>
      <c r="L111" s="360"/>
      <c r="M111" s="360"/>
      <c r="N111" s="157"/>
      <c r="O111" s="157"/>
      <c r="P111" s="157"/>
      <c r="Q111" s="157"/>
      <c r="R111" s="157"/>
      <c r="S111" s="157"/>
      <c r="T111" s="157"/>
      <c r="U111" s="157"/>
      <c r="V111" s="157"/>
      <c r="W111" s="157"/>
      <c r="X111" s="157"/>
      <c r="Y111" s="157"/>
      <c r="Z111" s="157"/>
      <c r="AA111" s="157"/>
      <c r="AB111" s="157"/>
      <c r="AC111" s="157"/>
      <c r="AD111" s="157"/>
    </row>
    <row r="112" spans="1:30" x14ac:dyDescent="0.25">
      <c r="B112" s="157"/>
      <c r="C112" s="480">
        <f>SUM(C92:C111)</f>
        <v>32.880000000000003</v>
      </c>
      <c r="D112" s="360"/>
      <c r="E112" s="360"/>
      <c r="F112" s="480">
        <f>SUM(F92:F111)</f>
        <v>99.83</v>
      </c>
      <c r="G112" s="360"/>
      <c r="H112" s="360"/>
      <c r="I112" s="360"/>
      <c r="J112" s="360"/>
      <c r="K112" s="360"/>
      <c r="L112" s="360"/>
      <c r="M112" s="360"/>
      <c r="N112" s="157"/>
      <c r="O112" s="157"/>
      <c r="P112" s="157"/>
      <c r="Q112" s="157"/>
      <c r="R112" s="157"/>
      <c r="S112" s="157"/>
      <c r="T112" s="157"/>
      <c r="U112" s="157"/>
      <c r="V112" s="157"/>
      <c r="W112" s="157"/>
      <c r="X112" s="157"/>
      <c r="Y112" s="157"/>
      <c r="Z112" s="157"/>
      <c r="AA112" s="157"/>
      <c r="AB112" s="157"/>
      <c r="AC112" s="157"/>
      <c r="AD112" s="157"/>
    </row>
    <row r="113" spans="1:30" x14ac:dyDescent="0.25">
      <c r="B113" s="157"/>
      <c r="C113" s="360"/>
      <c r="D113" s="360"/>
      <c r="E113" s="360"/>
      <c r="F113" s="360"/>
      <c r="G113" s="360"/>
      <c r="H113" s="360"/>
      <c r="I113" s="360"/>
      <c r="J113" s="360"/>
      <c r="K113" s="360"/>
      <c r="L113" s="360"/>
      <c r="M113" s="360"/>
      <c r="N113" s="157"/>
      <c r="O113" s="157"/>
      <c r="P113" s="157"/>
      <c r="Q113" s="157"/>
      <c r="R113" s="157"/>
      <c r="S113" s="157"/>
      <c r="T113" s="157"/>
      <c r="U113" s="157"/>
      <c r="V113" s="157"/>
      <c r="W113" s="157"/>
      <c r="X113" s="157"/>
      <c r="Y113" s="157"/>
      <c r="Z113" s="157"/>
      <c r="AA113" s="157"/>
      <c r="AB113" s="157"/>
      <c r="AC113" s="157"/>
      <c r="AD113" s="157"/>
    </row>
    <row r="114" spans="1:30" x14ac:dyDescent="0.25">
      <c r="B114" s="157"/>
      <c r="C114" s="360"/>
      <c r="D114" s="360"/>
      <c r="E114" s="360"/>
      <c r="F114" s="360"/>
      <c r="G114" s="360"/>
      <c r="H114" s="360"/>
      <c r="I114" s="360"/>
      <c r="J114" s="360"/>
      <c r="K114" s="360"/>
      <c r="L114" s="360"/>
      <c r="M114" s="360"/>
      <c r="N114" s="157"/>
      <c r="O114" s="157"/>
      <c r="P114" s="157"/>
      <c r="Q114" s="157"/>
      <c r="R114" s="157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7"/>
      <c r="AD114" s="157"/>
    </row>
    <row r="115" spans="1:30" x14ac:dyDescent="0.25">
      <c r="B115" s="157"/>
      <c r="C115" s="226" t="s">
        <v>149</v>
      </c>
      <c r="D115" s="360"/>
      <c r="E115" s="360"/>
      <c r="F115" s="360"/>
      <c r="G115" s="360"/>
      <c r="H115" s="360"/>
      <c r="I115" s="360"/>
      <c r="J115" s="360"/>
      <c r="K115" s="360"/>
      <c r="L115" s="360"/>
      <c r="M115" s="360"/>
      <c r="N115" s="157"/>
      <c r="O115" s="157"/>
      <c r="P115" s="157"/>
      <c r="Q115" s="157"/>
      <c r="R115" s="157"/>
      <c r="S115" s="157"/>
      <c r="T115" s="157"/>
      <c r="U115" s="157"/>
      <c r="V115" s="157"/>
      <c r="W115" s="157"/>
      <c r="X115" s="157"/>
      <c r="Y115" s="157"/>
      <c r="Z115" s="157"/>
      <c r="AA115" s="157"/>
      <c r="AB115" s="157"/>
      <c r="AC115" s="157"/>
      <c r="AD115" s="157"/>
    </row>
    <row r="116" spans="1:30" x14ac:dyDescent="0.25">
      <c r="B116" s="157"/>
      <c r="C116" s="231" t="s">
        <v>77</v>
      </c>
      <c r="D116" s="360"/>
      <c r="E116" s="522" t="s">
        <v>76</v>
      </c>
      <c r="F116" s="522"/>
      <c r="G116" s="227"/>
      <c r="H116" s="360"/>
      <c r="I116" s="522" t="s">
        <v>215</v>
      </c>
      <c r="J116" s="522"/>
      <c r="K116" s="522"/>
      <c r="L116" s="522"/>
      <c r="M116" s="227"/>
      <c r="N116" s="227"/>
      <c r="O116" s="227" t="s">
        <v>107</v>
      </c>
      <c r="P116" s="227"/>
      <c r="Q116" s="157" t="s">
        <v>150</v>
      </c>
      <c r="R116" s="157"/>
      <c r="S116" s="527"/>
      <c r="T116" s="527"/>
      <c r="U116" s="157"/>
      <c r="V116" s="157"/>
      <c r="W116" s="157"/>
      <c r="X116" s="157"/>
      <c r="Y116" s="157"/>
      <c r="Z116" s="157"/>
      <c r="AA116" s="157"/>
      <c r="AB116" s="157"/>
      <c r="AC116" s="157"/>
      <c r="AD116" s="157"/>
    </row>
    <row r="117" spans="1:30" x14ac:dyDescent="0.25">
      <c r="A117" s="173">
        <v>1</v>
      </c>
      <c r="B117" s="227" t="s">
        <v>75</v>
      </c>
      <c r="C117" s="171">
        <f>0.72*1.24</f>
        <v>0.89</v>
      </c>
      <c r="D117" s="229"/>
      <c r="E117" s="360"/>
      <c r="F117" s="360">
        <f>0.72*2+1.24*2</f>
        <v>3.92</v>
      </c>
      <c r="G117" s="360"/>
      <c r="H117" s="229"/>
      <c r="I117" s="360"/>
      <c r="J117" s="481">
        <v>72.12</v>
      </c>
      <c r="K117" s="235"/>
      <c r="L117" s="227"/>
      <c r="M117" s="360"/>
      <c r="N117" s="281"/>
      <c r="O117" s="281" t="s">
        <v>151</v>
      </c>
      <c r="P117" s="491">
        <f>10.84+8.1+26.5</f>
        <v>45.44</v>
      </c>
      <c r="Q117" s="157" t="s">
        <v>153</v>
      </c>
      <c r="R117" s="481">
        <v>5.3</v>
      </c>
      <c r="S117" s="226"/>
      <c r="T117" s="273"/>
      <c r="U117" s="157"/>
      <c r="V117" s="157"/>
      <c r="W117" s="157"/>
      <c r="X117" s="157"/>
      <c r="Y117" s="157"/>
      <c r="Z117" s="157"/>
      <c r="AA117" s="157"/>
      <c r="AB117" s="157"/>
      <c r="AC117" s="157"/>
      <c r="AD117" s="157"/>
    </row>
    <row r="118" spans="1:30" x14ac:dyDescent="0.25">
      <c r="A118" s="173">
        <v>2</v>
      </c>
      <c r="B118" s="227" t="s">
        <v>75</v>
      </c>
      <c r="C118" s="171">
        <f>0.72*1.05</f>
        <v>0.76</v>
      </c>
      <c r="D118" s="229"/>
      <c r="E118" s="360"/>
      <c r="F118" s="360">
        <f>0.72*2+1.05*2</f>
        <v>3.54</v>
      </c>
      <c r="G118" s="360"/>
      <c r="H118" s="229"/>
      <c r="I118" s="360"/>
      <c r="J118" s="360"/>
      <c r="K118" s="171"/>
      <c r="L118" s="227"/>
      <c r="M118" s="360"/>
      <c r="N118" s="157"/>
      <c r="O118" s="157" t="s">
        <v>109</v>
      </c>
      <c r="P118" s="491">
        <v>14.15</v>
      </c>
      <c r="Q118" s="157" t="s">
        <v>116</v>
      </c>
      <c r="R118" s="492">
        <v>8.1999999999999993</v>
      </c>
      <c r="S118" s="157"/>
      <c r="T118" s="157"/>
      <c r="U118" s="157"/>
      <c r="V118" s="157"/>
      <c r="W118" s="157"/>
      <c r="X118" s="157"/>
      <c r="Y118" s="157"/>
      <c r="Z118" s="157"/>
      <c r="AA118" s="157"/>
      <c r="AB118" s="157"/>
      <c r="AC118" s="157"/>
      <c r="AD118" s="157"/>
    </row>
    <row r="119" spans="1:30" x14ac:dyDescent="0.25">
      <c r="A119" s="173">
        <v>3</v>
      </c>
      <c r="B119" s="227" t="s">
        <v>75</v>
      </c>
      <c r="C119" s="171">
        <f>0.72*1.16</f>
        <v>0.84</v>
      </c>
      <c r="D119" s="229"/>
      <c r="E119" s="360"/>
      <c r="F119" s="360">
        <f>0.72*2+1.16*2</f>
        <v>3.76</v>
      </c>
      <c r="G119" s="360"/>
      <c r="H119" s="229"/>
      <c r="I119" s="360"/>
      <c r="J119" s="360"/>
      <c r="K119" s="279"/>
      <c r="L119" s="227"/>
      <c r="M119" s="360"/>
      <c r="N119" s="157"/>
      <c r="O119" s="157" t="s">
        <v>254</v>
      </c>
      <c r="P119" s="491">
        <v>9.6999999999999993</v>
      </c>
      <c r="Q119" s="226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</row>
    <row r="120" spans="1:30" x14ac:dyDescent="0.25">
      <c r="A120" s="173">
        <v>4</v>
      </c>
      <c r="B120" s="227" t="s">
        <v>75</v>
      </c>
      <c r="C120" s="171">
        <f>1.16*0.72</f>
        <v>0.84</v>
      </c>
      <c r="D120" s="229"/>
      <c r="E120" s="360"/>
      <c r="F120" s="360">
        <f>1.16*2+0.72*2</f>
        <v>3.76</v>
      </c>
      <c r="G120" s="360"/>
      <c r="H120" s="229"/>
      <c r="I120" s="227"/>
      <c r="J120" s="227"/>
      <c r="K120" s="227"/>
      <c r="L120" s="227"/>
      <c r="M120" s="360"/>
      <c r="N120" s="157"/>
      <c r="O120" s="157"/>
      <c r="P120" s="157"/>
      <c r="Q120" s="226"/>
      <c r="R120" s="157"/>
      <c r="S120" s="157"/>
      <c r="T120" s="157"/>
      <c r="U120" s="157"/>
      <c r="V120" s="157"/>
      <c r="W120" s="157"/>
      <c r="X120" s="157"/>
      <c r="Y120" s="157"/>
      <c r="Z120" s="157"/>
      <c r="AA120" s="157"/>
      <c r="AB120" s="157"/>
      <c r="AC120" s="157"/>
      <c r="AD120" s="157"/>
    </row>
    <row r="121" spans="1:30" x14ac:dyDescent="0.25">
      <c r="A121" s="173">
        <v>5</v>
      </c>
      <c r="B121" s="227" t="s">
        <v>75</v>
      </c>
      <c r="C121" s="171">
        <v>1.29</v>
      </c>
      <c r="D121" s="229"/>
      <c r="E121" s="360"/>
      <c r="F121" s="360">
        <v>4.76</v>
      </c>
      <c r="G121" s="360"/>
      <c r="H121" s="229"/>
      <c r="I121" s="360"/>
      <c r="J121" s="226"/>
      <c r="K121" s="235"/>
      <c r="L121" s="360"/>
      <c r="M121" s="360"/>
      <c r="N121" s="157"/>
      <c r="O121" s="157"/>
      <c r="P121" s="157"/>
      <c r="Q121" s="157"/>
      <c r="R121" s="157"/>
      <c r="S121" s="157"/>
      <c r="T121" s="157"/>
      <c r="U121" s="157"/>
      <c r="V121" s="157"/>
      <c r="W121" s="157"/>
      <c r="X121" s="157"/>
      <c r="Y121" s="157"/>
      <c r="Z121" s="157"/>
      <c r="AA121" s="157"/>
      <c r="AB121" s="157"/>
      <c r="AC121" s="157"/>
      <c r="AD121" s="157"/>
    </row>
    <row r="122" spans="1:30" x14ac:dyDescent="0.25">
      <c r="A122" s="173">
        <v>6</v>
      </c>
      <c r="B122" s="227" t="s">
        <v>75</v>
      </c>
      <c r="C122" s="171">
        <f>0.72*1.16</f>
        <v>0.84</v>
      </c>
      <c r="D122" s="229"/>
      <c r="E122" s="360"/>
      <c r="F122" s="360">
        <f>0.72*2+1.16*2</f>
        <v>3.76</v>
      </c>
      <c r="G122" s="360"/>
      <c r="H122" s="229"/>
      <c r="I122" s="360"/>
      <c r="J122" s="360"/>
      <c r="K122" s="360"/>
      <c r="L122" s="360"/>
      <c r="M122" s="360"/>
      <c r="N122" s="157"/>
      <c r="O122" s="157"/>
      <c r="P122" s="157"/>
      <c r="Q122" s="157"/>
      <c r="R122" s="157"/>
      <c r="S122" s="157"/>
      <c r="T122" s="157"/>
      <c r="U122" s="157"/>
      <c r="V122" s="157"/>
      <c r="W122" s="157"/>
      <c r="X122" s="157"/>
      <c r="Y122" s="157"/>
      <c r="Z122" s="157"/>
      <c r="AA122" s="157"/>
      <c r="AB122" s="157"/>
      <c r="AC122" s="157"/>
      <c r="AD122" s="157"/>
    </row>
    <row r="123" spans="1:30" x14ac:dyDescent="0.25">
      <c r="A123" s="173">
        <v>7</v>
      </c>
      <c r="B123" s="227" t="s">
        <v>75</v>
      </c>
      <c r="C123" s="171">
        <f>0.72*1.16</f>
        <v>0.84</v>
      </c>
      <c r="D123" s="229"/>
      <c r="E123" s="360"/>
      <c r="F123" s="360">
        <f>0.72*2+1.16*2</f>
        <v>3.76</v>
      </c>
      <c r="G123" s="360"/>
      <c r="H123" s="229"/>
      <c r="I123" s="360"/>
      <c r="J123" s="360"/>
      <c r="K123" s="360"/>
      <c r="L123" s="360"/>
      <c r="M123" s="360"/>
      <c r="N123" s="157"/>
      <c r="O123" s="157"/>
      <c r="P123" s="157"/>
      <c r="Q123" s="157"/>
      <c r="R123" s="157"/>
      <c r="S123" s="157"/>
      <c r="T123" s="157"/>
      <c r="U123" s="157"/>
      <c r="V123" s="157"/>
      <c r="W123" s="157"/>
      <c r="X123" s="157"/>
      <c r="Y123" s="157"/>
      <c r="Z123" s="157"/>
      <c r="AA123" s="157"/>
      <c r="AB123" s="157"/>
      <c r="AC123" s="157"/>
      <c r="AD123" s="157"/>
    </row>
    <row r="124" spans="1:30" x14ac:dyDescent="0.25">
      <c r="A124" s="173">
        <v>8</v>
      </c>
      <c r="B124" s="227" t="s">
        <v>75</v>
      </c>
      <c r="C124" s="171">
        <f>0.72*1.24</f>
        <v>0.89</v>
      </c>
      <c r="D124" s="229"/>
      <c r="E124" s="360"/>
      <c r="F124" s="360">
        <f>0.72*2+1.24*2</f>
        <v>3.92</v>
      </c>
      <c r="G124" s="360"/>
      <c r="H124" s="229"/>
      <c r="I124" s="360"/>
      <c r="J124" s="360"/>
      <c r="K124" s="360"/>
      <c r="L124" s="360"/>
      <c r="M124" s="360"/>
      <c r="N124" s="157"/>
      <c r="O124" s="157"/>
      <c r="P124" s="157"/>
      <c r="Q124" s="157"/>
      <c r="R124" s="157"/>
      <c r="S124" s="157"/>
      <c r="T124" s="157"/>
      <c r="U124" s="157"/>
      <c r="V124" s="157"/>
      <c r="W124" s="157"/>
      <c r="X124" s="157"/>
      <c r="Y124" s="157"/>
      <c r="Z124" s="157"/>
      <c r="AA124" s="157"/>
      <c r="AB124" s="157"/>
      <c r="AC124" s="157"/>
      <c r="AD124" s="157"/>
    </row>
    <row r="125" spans="1:30" x14ac:dyDescent="0.25">
      <c r="A125" s="173">
        <v>9</v>
      </c>
      <c r="B125" s="227" t="s">
        <v>75</v>
      </c>
      <c r="C125" s="171">
        <v>1.8</v>
      </c>
      <c r="D125" s="229"/>
      <c r="E125" s="360"/>
      <c r="F125" s="360">
        <v>5.96</v>
      </c>
      <c r="G125" s="360"/>
      <c r="H125" s="229"/>
      <c r="I125" s="360"/>
      <c r="J125" s="360"/>
      <c r="K125" s="360"/>
      <c r="L125" s="360"/>
      <c r="M125" s="360"/>
      <c r="N125" s="157"/>
      <c r="O125" s="157"/>
      <c r="P125" s="157"/>
      <c r="Q125" s="157"/>
      <c r="R125" s="157"/>
      <c r="S125" s="157"/>
      <c r="T125" s="157"/>
      <c r="U125" s="157"/>
      <c r="V125" s="157"/>
      <c r="W125" s="157"/>
      <c r="X125" s="157"/>
      <c r="Y125" s="157"/>
      <c r="Z125" s="157"/>
      <c r="AA125" s="157"/>
      <c r="AB125" s="157"/>
      <c r="AC125" s="157"/>
      <c r="AD125" s="157"/>
    </row>
    <row r="126" spans="1:30" x14ac:dyDescent="0.25">
      <c r="A126" s="173">
        <v>10</v>
      </c>
      <c r="B126" s="227" t="s">
        <v>75</v>
      </c>
      <c r="C126" s="171">
        <f>0.72*1.24</f>
        <v>0.89</v>
      </c>
      <c r="D126" s="229"/>
      <c r="E126" s="360"/>
      <c r="F126" s="360">
        <f>0.72*2+1.24*2</f>
        <v>3.92</v>
      </c>
      <c r="G126" s="360"/>
      <c r="H126" s="229"/>
      <c r="I126" s="360"/>
      <c r="J126" s="360"/>
      <c r="K126" s="360"/>
      <c r="L126" s="360"/>
      <c r="M126" s="360"/>
      <c r="N126" s="157"/>
      <c r="O126" s="157"/>
      <c r="P126" s="157"/>
      <c r="Q126" s="157"/>
      <c r="R126" s="157"/>
      <c r="S126" s="157"/>
      <c r="T126" s="157"/>
      <c r="U126" s="157"/>
      <c r="V126" s="157"/>
      <c r="W126" s="157"/>
      <c r="X126" s="157"/>
      <c r="Y126" s="157"/>
      <c r="Z126" s="157"/>
      <c r="AA126" s="157"/>
      <c r="AB126" s="157"/>
      <c r="AC126" s="157"/>
      <c r="AD126" s="157"/>
    </row>
    <row r="127" spans="1:30" x14ac:dyDescent="0.25">
      <c r="B127" s="157"/>
      <c r="C127" s="480">
        <f>SUM(C117:C126)</f>
        <v>9.8800000000000008</v>
      </c>
      <c r="D127" s="234"/>
      <c r="E127" s="360"/>
      <c r="F127" s="481">
        <f>SUM(F117:F126)</f>
        <v>41.06</v>
      </c>
      <c r="G127" s="360"/>
      <c r="H127" s="234"/>
      <c r="I127" s="360"/>
      <c r="J127" s="360"/>
      <c r="K127" s="360"/>
      <c r="L127" s="360"/>
      <c r="M127" s="360"/>
      <c r="N127" s="157"/>
      <c r="O127" s="157"/>
      <c r="P127" s="157"/>
      <c r="Q127" s="157"/>
      <c r="R127" s="157"/>
      <c r="S127" s="157"/>
      <c r="T127" s="157"/>
      <c r="U127" s="157"/>
      <c r="V127" s="157"/>
      <c r="W127" s="157"/>
      <c r="X127" s="157"/>
      <c r="Y127" s="157"/>
      <c r="Z127" s="157"/>
      <c r="AA127" s="157"/>
      <c r="AB127" s="157"/>
      <c r="AC127" s="157"/>
      <c r="AD127" s="157"/>
    </row>
    <row r="128" spans="1:30" x14ac:dyDescent="0.25">
      <c r="B128" s="157"/>
      <c r="C128" s="360"/>
      <c r="D128" s="360"/>
      <c r="E128" s="360"/>
      <c r="F128" s="360"/>
      <c r="G128" s="360"/>
      <c r="H128" s="360"/>
      <c r="I128" s="360"/>
      <c r="J128" s="360"/>
      <c r="K128" s="360"/>
      <c r="L128" s="360"/>
      <c r="M128" s="360"/>
      <c r="N128" s="157"/>
      <c r="O128" s="157"/>
      <c r="P128" s="157"/>
      <c r="Q128" s="157"/>
      <c r="R128" s="157"/>
      <c r="S128" s="157"/>
      <c r="T128" s="157"/>
      <c r="U128" s="157"/>
      <c r="V128" s="157"/>
      <c r="W128" s="157"/>
      <c r="X128" s="157"/>
      <c r="Y128" s="157"/>
      <c r="Z128" s="157"/>
      <c r="AA128" s="157"/>
      <c r="AB128" s="157"/>
      <c r="AC128" s="157"/>
      <c r="AD128" s="157"/>
    </row>
    <row r="129" spans="1:30" x14ac:dyDescent="0.25">
      <c r="B129" s="157"/>
      <c r="C129" s="226" t="s">
        <v>155</v>
      </c>
      <c r="D129" s="360"/>
      <c r="E129" s="360"/>
      <c r="F129" s="360"/>
      <c r="G129" s="227"/>
      <c r="H129" s="227"/>
      <c r="I129" s="227"/>
      <c r="J129" s="227"/>
      <c r="K129" s="227"/>
      <c r="L129" s="157"/>
      <c r="M129" s="227"/>
      <c r="N129" s="227"/>
      <c r="O129" s="227"/>
      <c r="P129" s="227"/>
      <c r="Q129" s="157"/>
      <c r="R129" s="157"/>
      <c r="S129" s="157"/>
      <c r="T129" s="157"/>
      <c r="U129" s="157"/>
      <c r="V129" s="157"/>
      <c r="W129" s="157"/>
      <c r="X129" s="157"/>
      <c r="Y129" s="157"/>
      <c r="Z129" s="157"/>
      <c r="AA129" s="157"/>
      <c r="AB129" s="157"/>
      <c r="AC129" s="157"/>
      <c r="AD129" s="157"/>
    </row>
    <row r="130" spans="1:30" x14ac:dyDescent="0.25">
      <c r="B130" s="227"/>
      <c r="C130" s="228" t="s">
        <v>102</v>
      </c>
      <c r="D130" s="171"/>
      <c r="E130" s="522" t="s">
        <v>76</v>
      </c>
      <c r="F130" s="522"/>
      <c r="G130" s="229"/>
      <c r="H130" s="171"/>
      <c r="I130" s="522" t="s">
        <v>215</v>
      </c>
      <c r="J130" s="522"/>
      <c r="K130" s="522"/>
      <c r="L130" s="522"/>
      <c r="M130" s="230"/>
      <c r="N130" s="230"/>
      <c r="O130" s="231" t="s">
        <v>107</v>
      </c>
      <c r="P130" s="230"/>
      <c r="Q130" s="226"/>
      <c r="R130" s="231" t="s">
        <v>110</v>
      </c>
      <c r="S130" s="226"/>
      <c r="T130" s="157"/>
      <c r="U130" s="232" t="s">
        <v>111</v>
      </c>
      <c r="V130" s="157"/>
      <c r="W130" s="157"/>
      <c r="X130" s="157"/>
      <c r="Y130" s="157"/>
      <c r="Z130" s="157"/>
      <c r="AA130" s="157"/>
      <c r="AB130" s="157"/>
      <c r="AC130" s="157"/>
      <c r="AD130" s="157"/>
    </row>
    <row r="131" spans="1:30" x14ac:dyDescent="0.25">
      <c r="A131" s="173">
        <v>1</v>
      </c>
      <c r="B131" s="227" t="s">
        <v>101</v>
      </c>
      <c r="C131" s="171">
        <f>0.72*1.24</f>
        <v>0.89</v>
      </c>
      <c r="D131" s="171"/>
      <c r="E131" s="360"/>
      <c r="F131" s="171">
        <f>0.72*2+1.24*2</f>
        <v>3.92</v>
      </c>
      <c r="G131" s="229"/>
      <c r="H131" s="171"/>
      <c r="I131" s="360"/>
      <c r="J131" s="481">
        <f>106.16+9.6</f>
        <v>115.76</v>
      </c>
      <c r="K131" s="360"/>
      <c r="L131" s="360"/>
      <c r="M131" s="360"/>
      <c r="N131" s="157"/>
      <c r="O131" s="157" t="s">
        <v>108</v>
      </c>
      <c r="P131" s="493">
        <f>10+46.3+31.9</f>
        <v>88.2</v>
      </c>
      <c r="Q131" s="157"/>
      <c r="R131" s="157" t="s">
        <v>116</v>
      </c>
      <c r="S131" s="484">
        <v>13.7</v>
      </c>
      <c r="T131" s="157"/>
      <c r="U131" s="157" t="s">
        <v>112</v>
      </c>
      <c r="V131" s="484">
        <v>19.7</v>
      </c>
      <c r="W131" s="157"/>
      <c r="X131" s="157"/>
      <c r="Y131" s="157"/>
      <c r="Z131" s="157"/>
      <c r="AA131" s="157"/>
      <c r="AB131" s="157"/>
      <c r="AC131" s="157"/>
      <c r="AD131" s="157"/>
    </row>
    <row r="132" spans="1:30" x14ac:dyDescent="0.25">
      <c r="A132" s="173">
        <v>2</v>
      </c>
      <c r="B132" s="227" t="s">
        <v>101</v>
      </c>
      <c r="C132" s="171">
        <f>0.72*1.16</f>
        <v>0.84</v>
      </c>
      <c r="D132" s="171"/>
      <c r="E132" s="360"/>
      <c r="F132" s="171">
        <f>0.72*2+1.16*2</f>
        <v>3.76</v>
      </c>
      <c r="G132" s="229"/>
      <c r="H132" s="171"/>
      <c r="I132" s="360"/>
      <c r="J132" s="360"/>
      <c r="K132" s="360"/>
      <c r="L132" s="360"/>
      <c r="M132" s="360"/>
      <c r="N132" s="157"/>
      <c r="O132" s="157" t="s">
        <v>109</v>
      </c>
      <c r="P132" s="484">
        <v>15.24</v>
      </c>
      <c r="Q132" s="157"/>
      <c r="R132" s="157"/>
      <c r="S132" s="157"/>
      <c r="T132" s="157"/>
      <c r="U132" s="157"/>
      <c r="V132" s="157"/>
      <c r="W132" s="157"/>
      <c r="X132" s="157"/>
      <c r="Y132" s="157"/>
      <c r="Z132" s="157"/>
      <c r="AA132" s="157"/>
      <c r="AB132" s="157"/>
      <c r="AC132" s="157"/>
      <c r="AD132" s="157"/>
    </row>
    <row r="133" spans="1:30" x14ac:dyDescent="0.25">
      <c r="A133" s="173">
        <v>3</v>
      </c>
      <c r="B133" s="227" t="s">
        <v>101</v>
      </c>
      <c r="C133" s="171">
        <f>0.72*1.16</f>
        <v>0.84</v>
      </c>
      <c r="D133" s="171"/>
      <c r="E133" s="360"/>
      <c r="F133" s="171">
        <f>0.72*2+1.16*2</f>
        <v>3.76</v>
      </c>
      <c r="G133" s="229"/>
      <c r="H133" s="171"/>
      <c r="I133" s="360"/>
      <c r="J133" s="360"/>
      <c r="K133" s="360"/>
      <c r="L133" s="360"/>
      <c r="M133" s="360"/>
      <c r="N133" s="157"/>
      <c r="O133" s="157" t="s">
        <v>135</v>
      </c>
      <c r="P133" s="484">
        <v>1.05</v>
      </c>
      <c r="Q133" s="157"/>
      <c r="R133" s="157"/>
      <c r="S133" s="157"/>
      <c r="T133" s="157"/>
      <c r="U133" s="157"/>
      <c r="V133" s="157"/>
      <c r="W133" s="157"/>
      <c r="X133" s="157"/>
      <c r="Y133" s="157"/>
      <c r="Z133" s="157"/>
      <c r="AA133" s="157"/>
      <c r="AB133" s="157"/>
      <c r="AC133" s="157"/>
      <c r="AD133" s="157"/>
    </row>
    <row r="134" spans="1:30" x14ac:dyDescent="0.25">
      <c r="A134" s="173">
        <v>4</v>
      </c>
      <c r="B134" s="227" t="s">
        <v>101</v>
      </c>
      <c r="C134" s="171">
        <f>0.72*1.24</f>
        <v>0.89</v>
      </c>
      <c r="D134" s="171"/>
      <c r="E134" s="360"/>
      <c r="F134" s="171">
        <f>0.72*2+1.24*2</f>
        <v>3.92</v>
      </c>
      <c r="G134" s="229"/>
      <c r="H134" s="171"/>
      <c r="I134" s="360"/>
      <c r="J134" s="360"/>
      <c r="K134" s="360"/>
      <c r="L134" s="360"/>
      <c r="M134" s="360"/>
      <c r="N134" s="157"/>
      <c r="O134" s="157" t="s">
        <v>137</v>
      </c>
      <c r="P134" s="484">
        <f>0.7+0.8</f>
        <v>1.5</v>
      </c>
      <c r="Q134" s="157"/>
      <c r="R134" s="157"/>
      <c r="S134" s="157"/>
      <c r="T134" s="157"/>
      <c r="U134" s="157"/>
      <c r="V134" s="157"/>
      <c r="W134" s="157"/>
      <c r="X134" s="157"/>
      <c r="Y134" s="157"/>
      <c r="Z134" s="157"/>
      <c r="AA134" s="157"/>
      <c r="AB134" s="157"/>
      <c r="AC134" s="157"/>
      <c r="AD134" s="157"/>
    </row>
    <row r="135" spans="1:30" x14ac:dyDescent="0.25">
      <c r="A135" s="173">
        <v>5</v>
      </c>
      <c r="B135" s="227" t="s">
        <v>101</v>
      </c>
      <c r="C135" s="171">
        <f>0.72*1.8</f>
        <v>1.3</v>
      </c>
      <c r="D135" s="171"/>
      <c r="E135" s="360"/>
      <c r="F135" s="171">
        <f>0.72*2+1.8*2</f>
        <v>5.04</v>
      </c>
      <c r="G135" s="229"/>
      <c r="H135" s="171"/>
      <c r="I135" s="360"/>
      <c r="J135" s="360"/>
      <c r="K135" s="360"/>
      <c r="L135" s="360"/>
      <c r="M135" s="360"/>
      <c r="N135" s="157"/>
      <c r="O135" s="157" t="s">
        <v>253</v>
      </c>
      <c r="P135" s="490">
        <f>16.7-1.05</f>
        <v>15.7</v>
      </c>
      <c r="Q135" s="157"/>
      <c r="R135" s="157"/>
      <c r="S135" s="157"/>
      <c r="T135" s="157"/>
      <c r="U135" s="157"/>
      <c r="V135" s="157"/>
      <c r="W135" s="157"/>
      <c r="X135" s="157"/>
      <c r="Y135" s="157"/>
      <c r="Z135" s="157"/>
      <c r="AA135" s="157"/>
      <c r="AB135" s="157"/>
      <c r="AC135" s="157"/>
      <c r="AD135" s="157"/>
    </row>
    <row r="136" spans="1:30" x14ac:dyDescent="0.25">
      <c r="A136" s="173">
        <v>6</v>
      </c>
      <c r="B136" s="227" t="s">
        <v>101</v>
      </c>
      <c r="C136" s="171">
        <v>2.4700000000000002</v>
      </c>
      <c r="D136" s="171"/>
      <c r="E136" s="360"/>
      <c r="F136" s="171">
        <v>7.57</v>
      </c>
      <c r="G136" s="229"/>
      <c r="H136" s="171"/>
      <c r="I136" s="360"/>
      <c r="J136" s="360"/>
      <c r="K136" s="360"/>
      <c r="L136" s="360"/>
      <c r="M136" s="360"/>
      <c r="N136" s="157"/>
      <c r="O136" s="157"/>
      <c r="P136" s="157"/>
      <c r="Q136" s="157"/>
      <c r="R136" s="157"/>
      <c r="S136" s="157"/>
      <c r="T136" s="157"/>
      <c r="U136" s="157"/>
      <c r="V136" s="157"/>
      <c r="W136" s="157"/>
      <c r="X136" s="157"/>
      <c r="Y136" s="157"/>
      <c r="Z136" s="157"/>
      <c r="AA136" s="157"/>
      <c r="AB136" s="157"/>
      <c r="AC136" s="157"/>
      <c r="AD136" s="157"/>
    </row>
    <row r="137" spans="1:30" x14ac:dyDescent="0.25">
      <c r="A137" s="173">
        <v>7</v>
      </c>
      <c r="B137" s="227" t="s">
        <v>101</v>
      </c>
      <c r="C137" s="171">
        <v>10.1</v>
      </c>
      <c r="D137" s="171"/>
      <c r="E137" s="360"/>
      <c r="F137" s="171">
        <v>13.7</v>
      </c>
      <c r="G137" s="229"/>
      <c r="H137" s="235"/>
      <c r="I137" s="360"/>
      <c r="J137" s="360"/>
      <c r="K137" s="360"/>
      <c r="L137" s="360"/>
      <c r="M137" s="360"/>
      <c r="N137" s="157"/>
      <c r="O137" s="157"/>
      <c r="P137" s="157"/>
      <c r="Q137" s="157"/>
      <c r="R137" s="157"/>
      <c r="S137" s="157"/>
      <c r="T137" s="157"/>
      <c r="U137" s="157"/>
      <c r="V137" s="157"/>
      <c r="W137" s="157"/>
      <c r="X137" s="157"/>
      <c r="Y137" s="157"/>
      <c r="Z137" s="157"/>
      <c r="AA137" s="157"/>
      <c r="AB137" s="157"/>
      <c r="AC137" s="157"/>
      <c r="AD137" s="157"/>
    </row>
    <row r="138" spans="1:30" x14ac:dyDescent="0.25">
      <c r="A138" s="173">
        <v>8</v>
      </c>
      <c r="B138" s="227" t="s">
        <v>101</v>
      </c>
      <c r="C138" s="171">
        <f>0.72*1.8</f>
        <v>1.3</v>
      </c>
      <c r="D138" s="171"/>
      <c r="E138" s="360"/>
      <c r="F138" s="171">
        <f>0.72*2+1.8*2</f>
        <v>5.04</v>
      </c>
      <c r="G138" s="229"/>
      <c r="H138" s="360"/>
      <c r="I138" s="360"/>
      <c r="J138" s="360"/>
      <c r="K138" s="360"/>
      <c r="L138" s="360"/>
      <c r="M138" s="360"/>
      <c r="N138" s="157"/>
      <c r="O138" s="157"/>
      <c r="P138" s="157"/>
      <c r="Q138" s="157"/>
      <c r="R138" s="157"/>
      <c r="S138" s="157"/>
      <c r="T138" s="157"/>
      <c r="U138" s="157"/>
      <c r="V138" s="157"/>
      <c r="W138" s="157"/>
      <c r="X138" s="157"/>
      <c r="Y138" s="157"/>
      <c r="Z138" s="157"/>
      <c r="AA138" s="157"/>
      <c r="AB138" s="157"/>
      <c r="AC138" s="157"/>
      <c r="AD138" s="157"/>
    </row>
    <row r="139" spans="1:30" x14ac:dyDescent="0.25">
      <c r="A139" s="173">
        <v>9</v>
      </c>
      <c r="B139" s="227" t="s">
        <v>101</v>
      </c>
      <c r="C139" s="171">
        <f>0.72*1.16</f>
        <v>0.84</v>
      </c>
      <c r="D139" s="171"/>
      <c r="E139" s="360"/>
      <c r="F139" s="171">
        <f>0.72*2+1.16*2</f>
        <v>3.76</v>
      </c>
      <c r="G139" s="229"/>
      <c r="H139" s="360"/>
      <c r="I139" s="360"/>
      <c r="J139" s="360"/>
      <c r="K139" s="360"/>
      <c r="L139" s="360"/>
      <c r="M139" s="360"/>
      <c r="N139" s="157"/>
      <c r="O139" s="157"/>
      <c r="P139" s="157"/>
      <c r="Q139" s="157"/>
      <c r="R139" s="157"/>
      <c r="S139" s="157"/>
      <c r="T139" s="157"/>
      <c r="U139" s="157"/>
      <c r="V139" s="157"/>
      <c r="W139" s="157"/>
      <c r="X139" s="157"/>
      <c r="Y139" s="157"/>
      <c r="Z139" s="157"/>
      <c r="AA139" s="157"/>
      <c r="AB139" s="157"/>
      <c r="AC139" s="157"/>
      <c r="AD139" s="157"/>
    </row>
    <row r="140" spans="1:30" x14ac:dyDescent="0.25">
      <c r="A140" s="173">
        <v>10</v>
      </c>
      <c r="B140" s="227" t="s">
        <v>101</v>
      </c>
      <c r="C140" s="171">
        <f>0.72*1.8</f>
        <v>1.3</v>
      </c>
      <c r="D140" s="171"/>
      <c r="E140" s="360"/>
      <c r="F140" s="171">
        <f>0.72*2+1.8*2</f>
        <v>5.04</v>
      </c>
      <c r="G140" s="229"/>
      <c r="H140" s="360"/>
      <c r="I140" s="360"/>
      <c r="J140" s="360"/>
      <c r="K140" s="360"/>
      <c r="L140" s="360"/>
      <c r="M140" s="360"/>
      <c r="N140" s="157"/>
      <c r="O140" s="157"/>
      <c r="P140" s="157"/>
      <c r="Q140" s="157"/>
      <c r="R140" s="157"/>
      <c r="S140" s="157"/>
      <c r="T140" s="157"/>
      <c r="U140" s="157"/>
      <c r="V140" s="157"/>
      <c r="W140" s="157"/>
      <c r="X140" s="157"/>
      <c r="Y140" s="157"/>
      <c r="Z140" s="157"/>
      <c r="AA140" s="157"/>
      <c r="AB140" s="157"/>
      <c r="AC140" s="157"/>
      <c r="AD140" s="157"/>
    </row>
    <row r="141" spans="1:30" x14ac:dyDescent="0.25">
      <c r="A141" s="173">
        <v>11</v>
      </c>
      <c r="B141" s="227" t="s">
        <v>101</v>
      </c>
      <c r="C141" s="171">
        <f>0.72*1.05</f>
        <v>0.76</v>
      </c>
      <c r="D141" s="171"/>
      <c r="E141" s="360"/>
      <c r="F141" s="171">
        <f>0.72*2+1.05*2</f>
        <v>3.54</v>
      </c>
      <c r="G141" s="229"/>
      <c r="H141" s="360"/>
      <c r="I141" s="360"/>
      <c r="J141" s="360"/>
      <c r="K141" s="360"/>
      <c r="L141" s="360"/>
      <c r="M141" s="360"/>
      <c r="N141" s="157"/>
      <c r="O141" s="157"/>
      <c r="P141" s="157"/>
      <c r="Q141" s="157"/>
      <c r="R141" s="157"/>
      <c r="S141" s="157"/>
      <c r="T141" s="157"/>
      <c r="U141" s="157"/>
      <c r="V141" s="157"/>
      <c r="W141" s="157"/>
      <c r="X141" s="157"/>
      <c r="Y141" s="157"/>
      <c r="Z141" s="157"/>
      <c r="AA141" s="157"/>
      <c r="AB141" s="157"/>
      <c r="AC141" s="157"/>
      <c r="AD141" s="157"/>
    </row>
    <row r="142" spans="1:30" x14ac:dyDescent="0.25">
      <c r="A142" s="173">
        <v>12</v>
      </c>
      <c r="B142" s="227" t="s">
        <v>101</v>
      </c>
      <c r="C142" s="171">
        <f>0.72*1.05</f>
        <v>0.76</v>
      </c>
      <c r="D142" s="171"/>
      <c r="E142" s="360"/>
      <c r="F142" s="171">
        <f>0.72*2+1.05*2</f>
        <v>3.54</v>
      </c>
      <c r="G142" s="229"/>
      <c r="H142" s="360"/>
      <c r="I142" s="360"/>
      <c r="J142" s="360"/>
      <c r="K142" s="360"/>
      <c r="L142" s="360"/>
      <c r="M142" s="360"/>
      <c r="N142" s="157"/>
      <c r="O142" s="157"/>
      <c r="P142" s="157"/>
      <c r="Q142" s="157"/>
      <c r="R142" s="157"/>
      <c r="S142" s="157"/>
      <c r="T142" s="157"/>
      <c r="U142" s="157"/>
      <c r="V142" s="157"/>
      <c r="W142" s="157"/>
      <c r="X142" s="157"/>
      <c r="Y142" s="157"/>
      <c r="Z142" s="157"/>
      <c r="AA142" s="157"/>
      <c r="AB142" s="157"/>
      <c r="AC142" s="157"/>
      <c r="AD142" s="157"/>
    </row>
    <row r="143" spans="1:30" x14ac:dyDescent="0.25">
      <c r="A143" s="173">
        <v>13</v>
      </c>
      <c r="B143" s="227" t="s">
        <v>101</v>
      </c>
      <c r="C143" s="171">
        <f>0.72*1.05</f>
        <v>0.76</v>
      </c>
      <c r="D143" s="171"/>
      <c r="E143" s="360"/>
      <c r="F143" s="171">
        <f>0.72*2+1.05*2</f>
        <v>3.54</v>
      </c>
      <c r="G143" s="360"/>
      <c r="H143" s="360"/>
      <c r="I143" s="360"/>
      <c r="J143" s="360"/>
      <c r="K143" s="360"/>
      <c r="L143" s="360"/>
      <c r="M143" s="360"/>
      <c r="N143" s="157"/>
      <c r="O143" s="157"/>
      <c r="P143" s="157"/>
      <c r="Q143" s="157"/>
      <c r="R143" s="157"/>
      <c r="S143" s="157"/>
      <c r="T143" s="157"/>
      <c r="U143" s="157"/>
      <c r="V143" s="157"/>
      <c r="W143" s="157"/>
      <c r="X143" s="157"/>
      <c r="Y143" s="157"/>
      <c r="Z143" s="157"/>
      <c r="AA143" s="157"/>
      <c r="AB143" s="157"/>
      <c r="AC143" s="157"/>
      <c r="AD143" s="157"/>
    </row>
    <row r="144" spans="1:30" x14ac:dyDescent="0.25">
      <c r="A144" s="173">
        <v>14</v>
      </c>
      <c r="B144" s="227" t="s">
        <v>101</v>
      </c>
      <c r="C144" s="171">
        <f>0.72*1.16</f>
        <v>0.84</v>
      </c>
      <c r="D144" s="171"/>
      <c r="E144" s="360"/>
      <c r="F144" s="171">
        <f>0.72*2+1.16*2</f>
        <v>3.76</v>
      </c>
      <c r="G144" s="360"/>
      <c r="H144" s="360"/>
      <c r="I144" s="360"/>
      <c r="J144" s="360"/>
      <c r="K144" s="360"/>
      <c r="L144" s="360"/>
      <c r="M144" s="360"/>
      <c r="N144" s="157"/>
      <c r="O144" s="157"/>
      <c r="P144" s="157"/>
      <c r="Q144" s="157"/>
      <c r="R144" s="157"/>
      <c r="S144" s="157"/>
      <c r="T144" s="157"/>
      <c r="U144" s="157"/>
      <c r="V144" s="157"/>
      <c r="W144" s="157"/>
      <c r="X144" s="157"/>
      <c r="Y144" s="157"/>
      <c r="Z144" s="157"/>
      <c r="AA144" s="157"/>
      <c r="AB144" s="157"/>
      <c r="AC144" s="157"/>
      <c r="AD144" s="157"/>
    </row>
    <row r="145" spans="1:30" x14ac:dyDescent="0.25">
      <c r="A145" s="173">
        <v>15</v>
      </c>
      <c r="B145" s="227" t="s">
        <v>101</v>
      </c>
      <c r="C145" s="171">
        <f>0.72*1.16</f>
        <v>0.84</v>
      </c>
      <c r="D145" s="171"/>
      <c r="E145" s="360"/>
      <c r="F145" s="171">
        <f>0.72*2+1.16*2</f>
        <v>3.76</v>
      </c>
      <c r="G145" s="360"/>
      <c r="H145" s="360"/>
      <c r="I145" s="360"/>
      <c r="J145" s="360"/>
      <c r="K145" s="360"/>
      <c r="L145" s="360"/>
      <c r="M145" s="360"/>
      <c r="N145" s="157"/>
      <c r="O145" s="157"/>
      <c r="P145" s="157"/>
      <c r="Q145" s="157"/>
      <c r="R145" s="157"/>
      <c r="S145" s="157"/>
      <c r="T145" s="157"/>
      <c r="U145" s="157"/>
      <c r="V145" s="157"/>
      <c r="W145" s="157"/>
      <c r="X145" s="157"/>
      <c r="Y145" s="157"/>
      <c r="Z145" s="157"/>
      <c r="AA145" s="157"/>
      <c r="AB145" s="157"/>
      <c r="AC145" s="157"/>
      <c r="AD145" s="157"/>
    </row>
    <row r="146" spans="1:30" x14ac:dyDescent="0.25">
      <c r="A146" s="173">
        <v>16</v>
      </c>
      <c r="B146" s="227" t="s">
        <v>101</v>
      </c>
      <c r="C146" s="171">
        <v>4</v>
      </c>
      <c r="D146" s="171"/>
      <c r="E146" s="360"/>
      <c r="F146" s="171">
        <v>9.68</v>
      </c>
      <c r="G146" s="360"/>
      <c r="H146" s="360"/>
      <c r="I146" s="360"/>
      <c r="J146" s="360"/>
      <c r="K146" s="360"/>
      <c r="L146" s="360"/>
      <c r="M146" s="360"/>
      <c r="N146" s="157"/>
      <c r="O146" s="157"/>
      <c r="P146" s="157"/>
      <c r="Q146" s="157"/>
      <c r="R146" s="157"/>
      <c r="S146" s="157"/>
      <c r="T146" s="157"/>
      <c r="U146" s="157"/>
      <c r="V146" s="157"/>
      <c r="W146" s="157"/>
      <c r="X146" s="157"/>
      <c r="Y146" s="157"/>
      <c r="Z146" s="157"/>
      <c r="AA146" s="157"/>
      <c r="AB146" s="157"/>
      <c r="AC146" s="157"/>
      <c r="AD146" s="157"/>
    </row>
    <row r="147" spans="1:30" x14ac:dyDescent="0.25">
      <c r="A147" s="173">
        <v>17</v>
      </c>
      <c r="B147" s="227" t="s">
        <v>101</v>
      </c>
      <c r="C147" s="171">
        <f>0.72*1.16</f>
        <v>0.84</v>
      </c>
      <c r="D147" s="171"/>
      <c r="E147" s="360"/>
      <c r="F147" s="171">
        <f>0.72*2+1.16*2</f>
        <v>3.76</v>
      </c>
      <c r="G147" s="360"/>
      <c r="H147" s="360"/>
      <c r="I147" s="360"/>
      <c r="J147" s="360"/>
      <c r="K147" s="360"/>
      <c r="L147" s="360"/>
      <c r="M147" s="360"/>
      <c r="N147" s="157"/>
      <c r="O147" s="157"/>
      <c r="P147" s="157"/>
      <c r="Q147" s="157"/>
      <c r="R147" s="157"/>
      <c r="S147" s="157"/>
      <c r="T147" s="157"/>
      <c r="U147" s="157"/>
      <c r="V147" s="157"/>
      <c r="W147" s="157"/>
      <c r="X147" s="157"/>
      <c r="Y147" s="157"/>
      <c r="Z147" s="157"/>
      <c r="AA147" s="157"/>
      <c r="AB147" s="157"/>
      <c r="AC147" s="157"/>
      <c r="AD147" s="157"/>
    </row>
    <row r="148" spans="1:30" x14ac:dyDescent="0.25">
      <c r="A148" s="173">
        <v>18</v>
      </c>
      <c r="B148" s="227" t="s">
        <v>101</v>
      </c>
      <c r="C148" s="171">
        <f>0.72*1.24</f>
        <v>0.89</v>
      </c>
      <c r="D148" s="360"/>
      <c r="E148" s="360"/>
      <c r="F148" s="171">
        <f>0.72*2+1.24*2</f>
        <v>3.92</v>
      </c>
      <c r="G148" s="360"/>
      <c r="H148" s="360"/>
      <c r="I148" s="360"/>
      <c r="J148" s="360"/>
      <c r="K148" s="360"/>
      <c r="L148" s="360"/>
      <c r="M148" s="360"/>
      <c r="N148" s="157"/>
      <c r="O148" s="157"/>
      <c r="P148" s="157"/>
      <c r="Q148" s="157"/>
      <c r="R148" s="157"/>
      <c r="S148" s="157"/>
      <c r="T148" s="157"/>
      <c r="U148" s="157"/>
      <c r="V148" s="157"/>
      <c r="W148" s="157"/>
      <c r="X148" s="157"/>
      <c r="Y148" s="157"/>
      <c r="Z148" s="157"/>
      <c r="AA148" s="157"/>
      <c r="AB148" s="157"/>
      <c r="AC148" s="157"/>
      <c r="AD148" s="157"/>
    </row>
    <row r="149" spans="1:30" x14ac:dyDescent="0.25">
      <c r="A149" s="173">
        <v>19</v>
      </c>
      <c r="B149" s="227" t="s">
        <v>101</v>
      </c>
      <c r="C149" s="171">
        <f>0.72*1.05</f>
        <v>0.76</v>
      </c>
      <c r="D149" s="360"/>
      <c r="E149" s="360"/>
      <c r="F149" s="360">
        <f>0.72*2+1.05*2</f>
        <v>3.54</v>
      </c>
      <c r="G149" s="360"/>
      <c r="H149" s="360"/>
      <c r="I149" s="360"/>
      <c r="J149" s="360"/>
      <c r="K149" s="360"/>
      <c r="L149" s="360"/>
      <c r="M149" s="360"/>
      <c r="N149" s="157"/>
      <c r="O149" s="157"/>
      <c r="P149" s="157"/>
      <c r="Q149" s="157"/>
      <c r="R149" s="157"/>
      <c r="S149" s="157"/>
      <c r="T149" s="157"/>
      <c r="U149" s="157"/>
      <c r="V149" s="157"/>
      <c r="W149" s="157"/>
      <c r="X149" s="157"/>
      <c r="Y149" s="157"/>
      <c r="Z149" s="157"/>
      <c r="AA149" s="157"/>
      <c r="AB149" s="157"/>
      <c r="AC149" s="157"/>
      <c r="AD149" s="157"/>
    </row>
    <row r="150" spans="1:30" x14ac:dyDescent="0.25">
      <c r="B150" s="157"/>
      <c r="C150" s="480">
        <f>SUM(C131:C149)</f>
        <v>31.22</v>
      </c>
      <c r="D150" s="360"/>
      <c r="E150" s="360"/>
      <c r="F150" s="480">
        <f>SUM(F131:F149)</f>
        <v>94.55</v>
      </c>
      <c r="G150" s="360"/>
      <c r="H150" s="360"/>
      <c r="I150" s="360"/>
      <c r="J150" s="360"/>
      <c r="K150" s="360"/>
      <c r="L150" s="360"/>
      <c r="M150" s="360"/>
      <c r="N150" s="157"/>
      <c r="O150" s="157"/>
      <c r="P150" s="157"/>
      <c r="Q150" s="157"/>
      <c r="R150" s="157"/>
      <c r="S150" s="157"/>
      <c r="T150" s="157"/>
      <c r="U150" s="157"/>
      <c r="V150" s="157"/>
      <c r="W150" s="157"/>
      <c r="X150" s="157"/>
      <c r="Y150" s="157"/>
      <c r="Z150" s="157"/>
      <c r="AA150" s="157"/>
      <c r="AB150" s="157"/>
      <c r="AC150" s="157"/>
      <c r="AD150" s="157"/>
    </row>
    <row r="151" spans="1:30" x14ac:dyDescent="0.25">
      <c r="B151" s="157"/>
      <c r="C151" s="360"/>
      <c r="D151" s="360"/>
      <c r="E151" s="360"/>
      <c r="F151" s="360"/>
      <c r="G151" s="360"/>
      <c r="H151" s="360"/>
      <c r="I151" s="360"/>
      <c r="J151" s="360"/>
      <c r="K151" s="360"/>
      <c r="L151" s="360"/>
      <c r="M151" s="360"/>
      <c r="N151" s="157"/>
      <c r="O151" s="157"/>
      <c r="P151" s="157"/>
      <c r="Q151" s="157"/>
      <c r="R151" s="157"/>
      <c r="S151" s="157"/>
      <c r="T151" s="157"/>
      <c r="U151" s="157"/>
      <c r="V151" s="157"/>
      <c r="W151" s="157"/>
      <c r="X151" s="157"/>
      <c r="Y151" s="157"/>
      <c r="Z151" s="157"/>
      <c r="AA151" s="157"/>
      <c r="AB151" s="157"/>
      <c r="AC151" s="157"/>
      <c r="AD151" s="157"/>
    </row>
    <row r="152" spans="1:30" x14ac:dyDescent="0.25">
      <c r="B152" s="157"/>
      <c r="C152" s="360"/>
      <c r="D152" s="360"/>
      <c r="E152" s="360"/>
      <c r="F152" s="360"/>
      <c r="G152" s="360"/>
      <c r="H152" s="360"/>
      <c r="I152" s="360"/>
      <c r="J152" s="360"/>
      <c r="K152" s="360"/>
      <c r="L152" s="360"/>
      <c r="M152" s="360"/>
      <c r="N152" s="157"/>
      <c r="O152" s="157"/>
      <c r="P152" s="157"/>
      <c r="Q152" s="157"/>
      <c r="R152" s="157"/>
      <c r="S152" s="157"/>
      <c r="T152" s="157"/>
      <c r="U152" s="157"/>
      <c r="V152" s="157"/>
      <c r="W152" s="157"/>
      <c r="X152" s="157"/>
      <c r="Y152" s="157"/>
      <c r="Z152" s="157"/>
      <c r="AA152" s="157"/>
      <c r="AB152" s="157"/>
      <c r="AC152" s="157"/>
      <c r="AD152" s="157"/>
    </row>
    <row r="153" spans="1:30" x14ac:dyDescent="0.25">
      <c r="B153" s="157"/>
      <c r="C153" s="226" t="s">
        <v>168</v>
      </c>
      <c r="D153" s="360"/>
      <c r="E153" s="227"/>
      <c r="F153" s="227"/>
      <c r="G153" s="360"/>
      <c r="H153" s="360"/>
      <c r="I153" s="360"/>
      <c r="J153" s="227"/>
      <c r="K153" s="227"/>
      <c r="L153" s="227"/>
      <c r="M153" s="227"/>
      <c r="N153" s="227"/>
      <c r="O153" s="227"/>
      <c r="P153" s="227"/>
      <c r="Q153" s="157"/>
      <c r="R153" s="157"/>
      <c r="S153" s="157"/>
      <c r="T153" s="157"/>
      <c r="U153" s="360"/>
      <c r="V153" s="361"/>
      <c r="W153" s="157"/>
      <c r="X153" s="157"/>
      <c r="Y153" s="157"/>
      <c r="Z153" s="157"/>
      <c r="AA153" s="157"/>
      <c r="AB153" s="157"/>
      <c r="AC153" s="157"/>
      <c r="AD153" s="157"/>
    </row>
    <row r="154" spans="1:30" x14ac:dyDescent="0.25">
      <c r="B154" s="227"/>
      <c r="C154" s="228" t="s">
        <v>102</v>
      </c>
      <c r="D154" s="171"/>
      <c r="E154" s="522" t="s">
        <v>76</v>
      </c>
      <c r="F154" s="522"/>
      <c r="G154" s="229"/>
      <c r="H154" s="229"/>
      <c r="I154" s="522" t="s">
        <v>78</v>
      </c>
      <c r="J154" s="522"/>
      <c r="K154" s="522"/>
      <c r="L154" s="522"/>
      <c r="M154" s="522"/>
      <c r="N154" s="230"/>
      <c r="O154" s="231" t="s">
        <v>107</v>
      </c>
      <c r="P154" s="230"/>
      <c r="Q154" s="226"/>
      <c r="R154" s="231" t="s">
        <v>110</v>
      </c>
      <c r="S154" s="226"/>
      <c r="T154" s="157"/>
      <c r="U154" s="232" t="s">
        <v>111</v>
      </c>
      <c r="V154" s="232"/>
      <c r="W154" s="157"/>
      <c r="X154" s="157"/>
      <c r="Y154" s="157"/>
      <c r="Z154" s="157"/>
      <c r="AA154" s="157"/>
      <c r="AB154" s="157"/>
      <c r="AC154" s="157"/>
      <c r="AD154" s="157"/>
    </row>
    <row r="155" spans="1:30" x14ac:dyDescent="0.25">
      <c r="A155" s="173">
        <v>1</v>
      </c>
      <c r="B155" s="227" t="s">
        <v>101</v>
      </c>
      <c r="C155" s="171">
        <f>1.24*0.72</f>
        <v>0.89</v>
      </c>
      <c r="D155" s="171"/>
      <c r="E155" s="360"/>
      <c r="F155" s="171">
        <f>1.24*2+0.72*2</f>
        <v>3.92</v>
      </c>
      <c r="G155" s="229"/>
      <c r="H155" s="229"/>
      <c r="I155" s="360"/>
      <c r="J155" s="481">
        <v>105.5</v>
      </c>
      <c r="K155" s="229"/>
      <c r="L155" s="360"/>
      <c r="M155" s="360"/>
      <c r="N155" s="157"/>
      <c r="O155" s="157" t="s">
        <v>108</v>
      </c>
      <c r="P155" s="484">
        <f>30.75+12.4+14</f>
        <v>57.15</v>
      </c>
      <c r="Q155" s="157"/>
      <c r="R155" s="157" t="s">
        <v>175</v>
      </c>
      <c r="S155" s="484">
        <v>7.4</v>
      </c>
      <c r="T155" s="157"/>
      <c r="U155" s="157" t="s">
        <v>112</v>
      </c>
      <c r="V155" s="484">
        <v>17</v>
      </c>
      <c r="W155" s="157"/>
      <c r="X155" s="157"/>
      <c r="Y155" s="157"/>
      <c r="Z155" s="157"/>
      <c r="AA155" s="157"/>
      <c r="AB155" s="157"/>
      <c r="AC155" s="157"/>
      <c r="AD155" s="157"/>
    </row>
    <row r="156" spans="1:30" x14ac:dyDescent="0.25">
      <c r="A156" s="173">
        <v>2</v>
      </c>
      <c r="B156" s="227" t="s">
        <v>101</v>
      </c>
      <c r="C156" s="171">
        <f>1.16*0.72</f>
        <v>0.84</v>
      </c>
      <c r="D156" s="171"/>
      <c r="E156" s="360"/>
      <c r="F156" s="171">
        <f>0.72*2+1.16*2</f>
        <v>3.76</v>
      </c>
      <c r="G156" s="229"/>
      <c r="H156" s="229"/>
      <c r="I156" s="360"/>
      <c r="J156" s="360"/>
      <c r="K156" s="234"/>
      <c r="L156" s="360"/>
      <c r="M156" s="360"/>
      <c r="N156" s="157"/>
      <c r="O156" s="157" t="s">
        <v>109</v>
      </c>
      <c r="P156" s="484">
        <v>15.24</v>
      </c>
      <c r="Q156" s="157"/>
      <c r="R156" s="157"/>
      <c r="S156" s="157"/>
      <c r="T156" s="157"/>
      <c r="U156" s="157" t="s">
        <v>169</v>
      </c>
      <c r="V156" s="484">
        <v>7.3</v>
      </c>
      <c r="W156" s="157"/>
      <c r="X156" s="157"/>
      <c r="Y156" s="157"/>
      <c r="Z156" s="157"/>
      <c r="AA156" s="157"/>
      <c r="AB156" s="157"/>
      <c r="AC156" s="157"/>
      <c r="AD156" s="157"/>
    </row>
    <row r="157" spans="1:30" x14ac:dyDescent="0.25">
      <c r="A157" s="173">
        <v>3</v>
      </c>
      <c r="B157" s="227" t="s">
        <v>101</v>
      </c>
      <c r="C157" s="171">
        <f>1.16*0.72</f>
        <v>0.84</v>
      </c>
      <c r="D157" s="171"/>
      <c r="E157" s="360"/>
      <c r="F157" s="171">
        <f>1.16*2+0.72*2</f>
        <v>3.76</v>
      </c>
      <c r="G157" s="229"/>
      <c r="H157" s="229"/>
      <c r="I157" s="522" t="s">
        <v>215</v>
      </c>
      <c r="J157" s="522"/>
      <c r="K157" s="522"/>
      <c r="L157" s="522"/>
      <c r="M157" s="360"/>
      <c r="N157" s="157"/>
      <c r="O157" s="157" t="s">
        <v>135</v>
      </c>
      <c r="P157" s="484">
        <v>1.05</v>
      </c>
      <c r="Q157" s="157"/>
      <c r="R157" s="157"/>
      <c r="S157" s="157"/>
      <c r="T157" s="157"/>
      <c r="U157" s="157"/>
      <c r="V157" s="157"/>
      <c r="W157" s="157"/>
      <c r="X157" s="157"/>
      <c r="Y157" s="157"/>
      <c r="Z157" s="157"/>
      <c r="AA157" s="157"/>
      <c r="AB157" s="157"/>
      <c r="AC157" s="157"/>
      <c r="AD157" s="157"/>
    </row>
    <row r="158" spans="1:30" x14ac:dyDescent="0.25">
      <c r="A158" s="173">
        <v>4</v>
      </c>
      <c r="B158" s="227" t="s">
        <v>101</v>
      </c>
      <c r="C158" s="171">
        <f>1.05*0.72</f>
        <v>0.76</v>
      </c>
      <c r="D158" s="171"/>
      <c r="E158" s="360"/>
      <c r="F158" s="171">
        <f>1.05*2+0.72*2</f>
        <v>3.54</v>
      </c>
      <c r="G158" s="229"/>
      <c r="H158" s="229"/>
      <c r="I158" s="360"/>
      <c r="J158" s="481">
        <v>84.7</v>
      </c>
      <c r="K158" s="235"/>
      <c r="L158" s="360"/>
      <c r="M158" s="360"/>
      <c r="N158" s="157"/>
      <c r="O158" s="157" t="s">
        <v>255</v>
      </c>
      <c r="P158" s="484">
        <v>18.8</v>
      </c>
      <c r="Q158" s="157"/>
      <c r="R158" s="157"/>
      <c r="S158" s="157"/>
      <c r="T158" s="157"/>
      <c r="U158" s="157"/>
      <c r="V158" s="157"/>
      <c r="W158" s="157"/>
      <c r="X158" s="157"/>
      <c r="Y158" s="157"/>
      <c r="Z158" s="157"/>
      <c r="AA158" s="157"/>
      <c r="AB158" s="157"/>
      <c r="AC158" s="157"/>
      <c r="AD158" s="157"/>
    </row>
    <row r="159" spans="1:30" x14ac:dyDescent="0.25">
      <c r="A159" s="173">
        <v>5</v>
      </c>
      <c r="B159" s="227" t="s">
        <v>101</v>
      </c>
      <c r="C159" s="171">
        <f>1.05*0.72</f>
        <v>0.76</v>
      </c>
      <c r="D159" s="171"/>
      <c r="E159" s="360"/>
      <c r="F159" s="171">
        <f>1.05*2+0.72*2</f>
        <v>3.54</v>
      </c>
      <c r="G159" s="229"/>
      <c r="H159" s="229"/>
      <c r="I159" s="360"/>
      <c r="J159" s="360"/>
      <c r="K159" s="360"/>
      <c r="L159" s="360"/>
      <c r="M159" s="360"/>
      <c r="N159" s="157"/>
      <c r="O159" s="157"/>
      <c r="P159" s="157"/>
      <c r="Q159" s="157"/>
      <c r="R159" s="157"/>
      <c r="S159" s="157"/>
      <c r="T159" s="157"/>
      <c r="U159" s="157"/>
      <c r="V159" s="157"/>
      <c r="W159" s="157"/>
      <c r="X159" s="157"/>
      <c r="Y159" s="157"/>
      <c r="Z159" s="157"/>
      <c r="AA159" s="157"/>
      <c r="AB159" s="157"/>
      <c r="AC159" s="157"/>
      <c r="AD159" s="157"/>
    </row>
    <row r="160" spans="1:30" x14ac:dyDescent="0.25">
      <c r="A160" s="173">
        <v>6</v>
      </c>
      <c r="B160" s="227" t="s">
        <v>101</v>
      </c>
      <c r="C160" s="171">
        <f>0.72*1.16</f>
        <v>0.84</v>
      </c>
      <c r="D160" s="171"/>
      <c r="E160" s="360"/>
      <c r="F160" s="171">
        <f>0.72*2+1.16*2</f>
        <v>3.76</v>
      </c>
      <c r="G160" s="229"/>
      <c r="H160" s="229"/>
      <c r="I160" s="360"/>
      <c r="J160" s="360"/>
      <c r="K160" s="360"/>
      <c r="L160" s="360"/>
      <c r="M160" s="360"/>
      <c r="N160" s="157"/>
      <c r="O160" s="231"/>
      <c r="P160" s="230"/>
      <c r="Q160" s="226"/>
      <c r="R160" s="231"/>
      <c r="S160" s="226"/>
      <c r="T160" s="157"/>
      <c r="U160" s="232"/>
      <c r="V160" s="232"/>
      <c r="W160" s="157"/>
      <c r="X160" s="157"/>
      <c r="Y160" s="157"/>
      <c r="Z160" s="157"/>
      <c r="AA160" s="157"/>
      <c r="AB160" s="157"/>
      <c r="AC160" s="157"/>
      <c r="AD160" s="157"/>
    </row>
    <row r="161" spans="1:30" x14ac:dyDescent="0.25">
      <c r="A161" s="220">
        <v>7</v>
      </c>
      <c r="B161" s="227" t="s">
        <v>101</v>
      </c>
      <c r="C161" s="171">
        <f>1.16*0.72</f>
        <v>0.84</v>
      </c>
      <c r="D161" s="171"/>
      <c r="E161" s="360"/>
      <c r="F161" s="171">
        <f>1.16*2+0.72*2</f>
        <v>3.76</v>
      </c>
      <c r="G161" s="229"/>
      <c r="H161" s="229"/>
      <c r="I161" s="360"/>
      <c r="J161" s="360"/>
      <c r="K161" s="360"/>
      <c r="L161" s="360"/>
      <c r="M161" s="360"/>
      <c r="N161" s="157"/>
      <c r="O161" s="157"/>
      <c r="P161" s="233"/>
      <c r="Q161" s="157"/>
      <c r="R161" s="157"/>
      <c r="S161" s="233"/>
      <c r="T161" s="157"/>
      <c r="U161" s="157"/>
      <c r="V161" s="233"/>
      <c r="W161" s="157"/>
      <c r="X161" s="157"/>
      <c r="Y161" s="157"/>
      <c r="Z161" s="157"/>
      <c r="AA161" s="157"/>
      <c r="AB161" s="157"/>
      <c r="AC161" s="157"/>
      <c r="AD161" s="157"/>
    </row>
    <row r="162" spans="1:30" x14ac:dyDescent="0.25">
      <c r="A162" s="220">
        <v>8</v>
      </c>
      <c r="B162" s="227" t="s">
        <v>101</v>
      </c>
      <c r="C162" s="171">
        <f>1.24*0.72</f>
        <v>0.89</v>
      </c>
      <c r="D162" s="171"/>
      <c r="E162" s="360"/>
      <c r="F162" s="171">
        <f>1.24*2+0.72*2</f>
        <v>3.92</v>
      </c>
      <c r="G162" s="229"/>
      <c r="H162" s="229"/>
      <c r="I162" s="360"/>
      <c r="J162" s="360"/>
      <c r="K162" s="360"/>
      <c r="L162" s="360"/>
      <c r="M162" s="360"/>
      <c r="N162" s="157"/>
      <c r="O162" s="157"/>
      <c r="P162" s="233"/>
      <c r="Q162" s="157"/>
      <c r="R162" s="157"/>
      <c r="S162" s="157"/>
      <c r="T162" s="157"/>
      <c r="U162" s="157"/>
      <c r="V162" s="233"/>
      <c r="W162" s="157"/>
      <c r="X162" s="157"/>
      <c r="Y162" s="157"/>
      <c r="Z162" s="157"/>
      <c r="AA162" s="157"/>
      <c r="AB162" s="157"/>
      <c r="AC162" s="157"/>
      <c r="AD162" s="157"/>
    </row>
    <row r="163" spans="1:30" x14ac:dyDescent="0.25">
      <c r="A163" s="220">
        <v>9</v>
      </c>
      <c r="B163" s="227" t="s">
        <v>101</v>
      </c>
      <c r="C163" s="171">
        <f>1.16*0.72</f>
        <v>0.84</v>
      </c>
      <c r="D163" s="171"/>
      <c r="E163" s="360"/>
      <c r="F163" s="171">
        <f>1.16*2+0.72*2</f>
        <v>3.76</v>
      </c>
      <c r="G163" s="229"/>
      <c r="H163" s="229"/>
      <c r="I163" s="360"/>
      <c r="J163" s="360"/>
      <c r="K163" s="360"/>
      <c r="L163" s="360"/>
      <c r="M163" s="360"/>
      <c r="N163" s="157"/>
      <c r="O163" s="157"/>
      <c r="P163" s="233"/>
      <c r="Q163" s="157"/>
      <c r="R163" s="157"/>
      <c r="S163" s="157"/>
      <c r="T163" s="157"/>
      <c r="U163" s="157"/>
      <c r="V163" s="157"/>
      <c r="W163" s="157"/>
      <c r="X163" s="157"/>
      <c r="Y163" s="157"/>
      <c r="Z163" s="157"/>
      <c r="AA163" s="157"/>
      <c r="AB163" s="157"/>
      <c r="AC163" s="157"/>
      <c r="AD163" s="157"/>
    </row>
    <row r="164" spans="1:30" x14ac:dyDescent="0.25">
      <c r="A164" s="220">
        <v>10</v>
      </c>
      <c r="B164" s="227" t="s">
        <v>101</v>
      </c>
      <c r="C164" s="171">
        <f>1.8*0.72</f>
        <v>1.3</v>
      </c>
      <c r="D164" s="171"/>
      <c r="E164" s="360"/>
      <c r="F164" s="171">
        <f>1.8*2+0.72*2</f>
        <v>5.04</v>
      </c>
      <c r="G164" s="229"/>
      <c r="H164" s="229"/>
      <c r="I164" s="360"/>
      <c r="J164" s="360"/>
      <c r="K164" s="360"/>
      <c r="L164" s="360"/>
      <c r="M164" s="360"/>
      <c r="N164" s="157"/>
      <c r="O164" s="157"/>
      <c r="P164" s="157"/>
      <c r="Q164" s="157"/>
      <c r="R164" s="157"/>
      <c r="S164" s="157"/>
      <c r="T164" s="157"/>
      <c r="U164" s="157"/>
      <c r="V164" s="157"/>
      <c r="W164" s="157"/>
      <c r="X164" s="157"/>
      <c r="Y164" s="157"/>
      <c r="Z164" s="157"/>
      <c r="AA164" s="157"/>
      <c r="AB164" s="157"/>
      <c r="AC164" s="157"/>
      <c r="AD164" s="157"/>
    </row>
    <row r="165" spans="1:30" x14ac:dyDescent="0.25">
      <c r="A165" s="220">
        <v>11</v>
      </c>
      <c r="B165" s="227" t="s">
        <v>101</v>
      </c>
      <c r="C165" s="171">
        <f>0.72*1.05</f>
        <v>0.76</v>
      </c>
      <c r="D165" s="171"/>
      <c r="E165" s="360"/>
      <c r="F165" s="171">
        <f>1.05*2+0.72*2</f>
        <v>3.54</v>
      </c>
      <c r="G165" s="229"/>
      <c r="H165" s="229"/>
      <c r="I165" s="360"/>
      <c r="J165" s="360"/>
      <c r="K165" s="360"/>
      <c r="L165" s="360"/>
      <c r="M165" s="360"/>
      <c r="N165" s="157"/>
      <c r="O165" s="157"/>
      <c r="P165" s="157"/>
      <c r="Q165" s="157"/>
      <c r="R165" s="157"/>
      <c r="S165" s="157"/>
      <c r="T165" s="157"/>
      <c r="U165" s="157"/>
      <c r="V165" s="157"/>
      <c r="W165" s="157"/>
      <c r="X165" s="157"/>
      <c r="Y165" s="157"/>
      <c r="Z165" s="157"/>
      <c r="AA165" s="157"/>
      <c r="AB165" s="157"/>
      <c r="AC165" s="157"/>
      <c r="AD165" s="157"/>
    </row>
    <row r="166" spans="1:30" x14ac:dyDescent="0.25">
      <c r="A166" s="220">
        <v>12</v>
      </c>
      <c r="B166" s="227" t="s">
        <v>101</v>
      </c>
      <c r="C166" s="171">
        <f>0.72*1.16</f>
        <v>0.84</v>
      </c>
      <c r="D166" s="171"/>
      <c r="E166" s="360"/>
      <c r="F166" s="171">
        <f>1.16*2+0.72*2</f>
        <v>3.76</v>
      </c>
      <c r="G166" s="229"/>
      <c r="H166" s="229"/>
      <c r="I166" s="360"/>
      <c r="J166" s="360"/>
      <c r="K166" s="360"/>
      <c r="L166" s="360"/>
      <c r="M166" s="360"/>
      <c r="N166" s="157"/>
      <c r="O166" s="157"/>
      <c r="P166" s="157"/>
      <c r="Q166" s="157"/>
      <c r="R166" s="157"/>
      <c r="S166" s="157"/>
      <c r="T166" s="157"/>
      <c r="U166" s="157"/>
      <c r="V166" s="157"/>
      <c r="W166" s="157"/>
      <c r="X166" s="157"/>
      <c r="Y166" s="157"/>
      <c r="Z166" s="157"/>
      <c r="AA166" s="157"/>
      <c r="AB166" s="157"/>
      <c r="AC166" s="157"/>
      <c r="AD166" s="157"/>
    </row>
    <row r="167" spans="1:30" x14ac:dyDescent="0.25">
      <c r="A167" s="220">
        <v>13</v>
      </c>
      <c r="B167" s="227" t="s">
        <v>101</v>
      </c>
      <c r="C167" s="236">
        <f>0.72*1.24</f>
        <v>0.89</v>
      </c>
      <c r="D167" s="236"/>
      <c r="E167" s="360"/>
      <c r="F167" s="171">
        <f>0.72*2+1.24*2</f>
        <v>3.92</v>
      </c>
      <c r="G167" s="360"/>
      <c r="H167" s="234"/>
      <c r="I167" s="360"/>
      <c r="J167" s="360"/>
      <c r="K167" s="360"/>
      <c r="L167" s="360"/>
      <c r="M167" s="360"/>
      <c r="N167" s="157"/>
      <c r="O167" s="157"/>
      <c r="P167" s="157"/>
      <c r="Q167" s="157"/>
      <c r="R167" s="157"/>
      <c r="S167" s="157"/>
      <c r="T167" s="157"/>
      <c r="U167" s="157"/>
      <c r="V167" s="157"/>
      <c r="W167" s="157"/>
      <c r="X167" s="157"/>
      <c r="Y167" s="157"/>
      <c r="Z167" s="157"/>
      <c r="AA167" s="157"/>
      <c r="AB167" s="157"/>
      <c r="AC167" s="157"/>
      <c r="AD167" s="157"/>
    </row>
    <row r="168" spans="1:30" x14ac:dyDescent="0.25">
      <c r="B168" s="157"/>
      <c r="C168" s="480">
        <f>SUM(C155:C167)</f>
        <v>11.29</v>
      </c>
      <c r="D168" s="360"/>
      <c r="E168" s="360"/>
      <c r="F168" s="480">
        <f>SUM(F155:F167)</f>
        <v>49.98</v>
      </c>
      <c r="G168" s="360"/>
      <c r="H168" s="360"/>
      <c r="I168" s="360"/>
      <c r="J168" s="360"/>
      <c r="K168" s="360"/>
      <c r="L168" s="360"/>
      <c r="M168" s="360"/>
      <c r="N168" s="157"/>
      <c r="O168" s="157"/>
      <c r="P168" s="157"/>
      <c r="Q168" s="157"/>
      <c r="R168" s="157"/>
      <c r="S168" s="157"/>
      <c r="T168" s="157"/>
      <c r="U168" s="157"/>
      <c r="V168" s="157"/>
      <c r="W168" s="157"/>
      <c r="X168" s="157"/>
      <c r="Y168" s="157"/>
      <c r="Z168" s="157"/>
      <c r="AA168" s="157"/>
      <c r="AB168" s="157"/>
      <c r="AC168" s="157"/>
      <c r="AD168" s="157"/>
    </row>
    <row r="169" spans="1:30" x14ac:dyDescent="0.25">
      <c r="B169" s="157"/>
      <c r="C169" s="360"/>
      <c r="D169" s="360"/>
      <c r="E169" s="360"/>
      <c r="F169" s="360"/>
      <c r="G169" s="360"/>
      <c r="H169" s="360"/>
      <c r="I169" s="360"/>
      <c r="J169" s="360"/>
      <c r="K169" s="360"/>
      <c r="L169" s="360"/>
      <c r="M169" s="360"/>
      <c r="N169" s="157"/>
      <c r="O169" s="157"/>
      <c r="P169" s="157"/>
      <c r="Q169" s="157"/>
      <c r="R169" s="157"/>
      <c r="S169" s="157"/>
      <c r="T169" s="157"/>
      <c r="U169" s="157"/>
      <c r="V169" s="157"/>
      <c r="W169" s="157"/>
      <c r="X169" s="157"/>
      <c r="Y169" s="157"/>
      <c r="Z169" s="157"/>
      <c r="AA169" s="157"/>
      <c r="AB169" s="157"/>
      <c r="AC169" s="157"/>
      <c r="AD169" s="157"/>
    </row>
    <row r="170" spans="1:30" x14ac:dyDescent="0.25">
      <c r="B170" s="157"/>
      <c r="C170" s="226" t="s">
        <v>174</v>
      </c>
      <c r="D170" s="360"/>
      <c r="E170" s="360"/>
      <c r="F170" s="360"/>
      <c r="G170" s="360"/>
      <c r="H170" s="360"/>
      <c r="I170" s="360"/>
      <c r="J170" s="360"/>
      <c r="K170" s="360"/>
      <c r="L170" s="360"/>
      <c r="M170" s="360"/>
      <c r="N170" s="157"/>
      <c r="O170" s="157"/>
      <c r="P170" s="157"/>
      <c r="Q170" s="157"/>
      <c r="R170" s="157"/>
      <c r="S170" s="157"/>
      <c r="T170" s="157"/>
      <c r="U170" s="157"/>
      <c r="V170" s="157"/>
      <c r="W170" s="157"/>
      <c r="X170" s="157"/>
      <c r="Y170" s="157"/>
      <c r="Z170" s="157"/>
      <c r="AA170" s="157"/>
      <c r="AB170" s="157"/>
      <c r="AC170" s="157"/>
      <c r="AD170" s="157"/>
    </row>
    <row r="171" spans="1:30" x14ac:dyDescent="0.25">
      <c r="A171" s="221"/>
      <c r="B171" s="157"/>
      <c r="C171" s="228" t="s">
        <v>102</v>
      </c>
      <c r="D171" s="171"/>
      <c r="E171" s="522" t="s">
        <v>76</v>
      </c>
      <c r="F171" s="522"/>
      <c r="G171" s="360"/>
      <c r="H171" s="360"/>
      <c r="I171" s="522" t="s">
        <v>216</v>
      </c>
      <c r="J171" s="522"/>
      <c r="K171" s="522"/>
      <c r="L171" s="522"/>
      <c r="M171" s="522"/>
      <c r="N171" s="157"/>
      <c r="O171" s="227" t="s">
        <v>107</v>
      </c>
      <c r="P171" s="157"/>
      <c r="Q171" s="157"/>
      <c r="R171" s="231" t="s">
        <v>110</v>
      </c>
      <c r="S171" s="157"/>
      <c r="T171" s="157"/>
      <c r="U171" s="157"/>
      <c r="V171" s="157"/>
      <c r="W171" s="157"/>
      <c r="X171" s="157"/>
      <c r="Y171" s="157"/>
      <c r="Z171" s="157"/>
      <c r="AA171" s="157"/>
      <c r="AB171" s="157"/>
      <c r="AC171" s="157"/>
      <c r="AD171" s="157"/>
    </row>
    <row r="172" spans="1:30" x14ac:dyDescent="0.25">
      <c r="A172" s="221">
        <v>1</v>
      </c>
      <c r="B172" s="157" t="s">
        <v>75</v>
      </c>
      <c r="C172" s="171">
        <f>0.715*1.05</f>
        <v>0.75</v>
      </c>
      <c r="D172" s="360"/>
      <c r="E172" s="360"/>
      <c r="F172" s="360">
        <f>0.715*2+1.05*2</f>
        <v>3.53</v>
      </c>
      <c r="G172" s="360"/>
      <c r="H172" s="360"/>
      <c r="I172" s="360"/>
      <c r="J172" s="481">
        <v>99.14</v>
      </c>
      <c r="K172" s="229"/>
      <c r="L172" s="360"/>
      <c r="M172" s="360"/>
      <c r="N172" s="157"/>
      <c r="O172" s="281" t="s">
        <v>151</v>
      </c>
      <c r="P172" s="484">
        <f>58.35+7.65</f>
        <v>66</v>
      </c>
      <c r="Q172" s="157"/>
      <c r="R172" s="157" t="s">
        <v>175</v>
      </c>
      <c r="S172" s="484">
        <v>14.7</v>
      </c>
      <c r="T172" s="157"/>
      <c r="U172" s="157"/>
      <c r="V172" s="233"/>
      <c r="W172" s="157"/>
      <c r="X172" s="157"/>
      <c r="Y172" s="157"/>
      <c r="Z172" s="157"/>
      <c r="AA172" s="157"/>
      <c r="AB172" s="157"/>
      <c r="AC172" s="157"/>
      <c r="AD172" s="157"/>
    </row>
    <row r="173" spans="1:30" x14ac:dyDescent="0.25">
      <c r="A173" s="221">
        <v>2</v>
      </c>
      <c r="B173" s="157" t="s">
        <v>75</v>
      </c>
      <c r="C173" s="171">
        <f>1.05*0.72</f>
        <v>0.76</v>
      </c>
      <c r="D173" s="360"/>
      <c r="E173" s="360"/>
      <c r="F173" s="360">
        <f>1.05*2+0.72*2</f>
        <v>3.54</v>
      </c>
      <c r="G173" s="360"/>
      <c r="H173" s="360"/>
      <c r="I173" s="360"/>
      <c r="J173" s="360"/>
      <c r="K173" s="360"/>
      <c r="L173" s="360"/>
      <c r="M173" s="360"/>
      <c r="N173" s="157"/>
      <c r="O173" s="479" t="s">
        <v>256</v>
      </c>
      <c r="P173" s="484">
        <v>18.5</v>
      </c>
      <c r="Q173" s="157"/>
      <c r="R173" s="157" t="s">
        <v>177</v>
      </c>
      <c r="S173" s="484">
        <v>7.3</v>
      </c>
      <c r="T173" s="157"/>
      <c r="U173" s="157" t="s">
        <v>176</v>
      </c>
      <c r="V173" s="484">
        <v>0.7</v>
      </c>
      <c r="W173" s="157"/>
      <c r="X173" s="157"/>
      <c r="Y173" s="157"/>
      <c r="Z173" s="157"/>
      <c r="AA173" s="157"/>
      <c r="AB173" s="157"/>
      <c r="AC173" s="157"/>
      <c r="AD173" s="157"/>
    </row>
    <row r="174" spans="1:30" x14ac:dyDescent="0.25">
      <c r="A174" s="221">
        <v>3</v>
      </c>
      <c r="B174" s="157" t="s">
        <v>75</v>
      </c>
      <c r="C174" s="171">
        <f>1.16*0.715</f>
        <v>0.83</v>
      </c>
      <c r="D174" s="360"/>
      <c r="E174" s="360"/>
      <c r="F174" s="360">
        <f>1.16*2+0.715*2</f>
        <v>3.75</v>
      </c>
      <c r="G174" s="360"/>
      <c r="H174" s="360"/>
      <c r="I174" s="522" t="s">
        <v>215</v>
      </c>
      <c r="J174" s="522"/>
      <c r="K174" s="522"/>
      <c r="L174" s="522"/>
      <c r="M174" s="522"/>
      <c r="N174" s="157"/>
      <c r="O174" s="157"/>
      <c r="P174" s="157"/>
      <c r="Q174" s="157"/>
      <c r="R174" s="157"/>
      <c r="S174" s="157"/>
      <c r="T174" s="157"/>
      <c r="U174" s="157"/>
      <c r="V174" s="157"/>
      <c r="W174" s="157"/>
      <c r="X174" s="157"/>
      <c r="Y174" s="157"/>
      <c r="Z174" s="157"/>
      <c r="AA174" s="157"/>
      <c r="AB174" s="157"/>
      <c r="AC174" s="157"/>
      <c r="AD174" s="157"/>
    </row>
    <row r="175" spans="1:30" x14ac:dyDescent="0.25">
      <c r="A175" s="361">
        <v>4</v>
      </c>
      <c r="B175" s="157" t="s">
        <v>75</v>
      </c>
      <c r="C175" s="171">
        <f>1.8*0.72</f>
        <v>1.3</v>
      </c>
      <c r="D175" s="360"/>
      <c r="E175" s="360"/>
      <c r="F175" s="360">
        <f>1.8*2+0.72*2</f>
        <v>5.04</v>
      </c>
      <c r="G175" s="360"/>
      <c r="H175" s="360"/>
      <c r="I175" s="360"/>
      <c r="J175" s="226"/>
      <c r="K175" s="481">
        <v>77.92</v>
      </c>
      <c r="L175" s="360"/>
      <c r="M175" s="259"/>
      <c r="N175" s="157"/>
      <c r="O175" s="157"/>
      <c r="P175" s="157"/>
      <c r="Q175" s="157"/>
      <c r="R175" s="157"/>
      <c r="S175" s="157"/>
      <c r="T175" s="157"/>
      <c r="U175" s="157"/>
      <c r="V175" s="157"/>
      <c r="W175" s="157"/>
      <c r="X175" s="157"/>
      <c r="Y175" s="157"/>
      <c r="Z175" s="157"/>
      <c r="AA175" s="157"/>
      <c r="AB175" s="157"/>
      <c r="AC175" s="157"/>
      <c r="AD175" s="157"/>
    </row>
    <row r="176" spans="1:30" x14ac:dyDescent="0.25">
      <c r="A176" s="361">
        <v>5</v>
      </c>
      <c r="B176" s="157" t="s">
        <v>75</v>
      </c>
      <c r="C176" s="171">
        <f>1.05*0.715</f>
        <v>0.75</v>
      </c>
      <c r="D176" s="360"/>
      <c r="E176" s="360"/>
      <c r="F176" s="360">
        <f>1.05*2+0.715*2</f>
        <v>3.53</v>
      </c>
      <c r="G176" s="360"/>
      <c r="H176" s="360"/>
      <c r="I176" s="360"/>
      <c r="J176" s="360"/>
      <c r="K176" s="360"/>
      <c r="L176" s="360"/>
      <c r="M176" s="259"/>
      <c r="N176" s="157"/>
      <c r="O176" s="157"/>
      <c r="P176" s="157"/>
      <c r="Q176" s="157"/>
      <c r="R176" s="157"/>
      <c r="S176" s="157"/>
      <c r="T176" s="157"/>
      <c r="U176" s="157"/>
      <c r="V176" s="157"/>
      <c r="W176" s="157"/>
      <c r="X176" s="157"/>
      <c r="Y176" s="157"/>
      <c r="Z176" s="157"/>
      <c r="AA176" s="157"/>
      <c r="AB176" s="157"/>
      <c r="AC176" s="157"/>
      <c r="AD176" s="157"/>
    </row>
    <row r="177" spans="1:12" x14ac:dyDescent="0.25">
      <c r="A177" s="361">
        <v>6</v>
      </c>
      <c r="B177" s="157" t="s">
        <v>75</v>
      </c>
      <c r="C177" s="171">
        <f>1.16*0.72</f>
        <v>0.84</v>
      </c>
      <c r="D177" s="360"/>
      <c r="E177" s="360"/>
      <c r="F177" s="360">
        <f>1.16*2+0.72*2</f>
        <v>3.76</v>
      </c>
      <c r="G177" s="360"/>
      <c r="H177" s="360"/>
      <c r="I177" s="360"/>
      <c r="J177" s="360"/>
      <c r="K177" s="360"/>
      <c r="L177" s="360"/>
    </row>
    <row r="178" spans="1:12" x14ac:dyDescent="0.25">
      <c r="A178" s="361">
        <v>7</v>
      </c>
      <c r="B178" s="157" t="s">
        <v>75</v>
      </c>
      <c r="C178" s="171">
        <f>1.16*0.72</f>
        <v>0.84</v>
      </c>
      <c r="D178" s="360"/>
      <c r="E178" s="360"/>
      <c r="F178" s="360">
        <f>1.16*2+0.72*2</f>
        <v>3.76</v>
      </c>
      <c r="G178" s="360"/>
      <c r="H178" s="360"/>
      <c r="I178" s="360"/>
      <c r="J178" s="360"/>
      <c r="K178" s="360"/>
      <c r="L178" s="360"/>
    </row>
    <row r="179" spans="1:12" x14ac:dyDescent="0.25">
      <c r="A179" s="361">
        <v>8</v>
      </c>
      <c r="B179" s="157" t="s">
        <v>75</v>
      </c>
      <c r="C179" s="171">
        <f>0.72*1.24</f>
        <v>0.89</v>
      </c>
      <c r="D179" s="360"/>
      <c r="E179" s="360"/>
      <c r="F179" s="360">
        <f>0.72*2+1.24*2</f>
        <v>3.92</v>
      </c>
      <c r="G179" s="360"/>
      <c r="H179" s="360"/>
      <c r="I179" s="360"/>
      <c r="J179" s="360"/>
      <c r="K179" s="360"/>
      <c r="L179" s="360"/>
    </row>
    <row r="180" spans="1:12" x14ac:dyDescent="0.25">
      <c r="A180" s="361">
        <v>9</v>
      </c>
      <c r="B180" s="157" t="s">
        <v>75</v>
      </c>
      <c r="C180" s="171">
        <f>1.05*0.72</f>
        <v>0.76</v>
      </c>
      <c r="D180" s="360"/>
      <c r="E180" s="360"/>
      <c r="F180" s="360">
        <f>1.05*2+0.72*2</f>
        <v>3.54</v>
      </c>
      <c r="G180" s="360"/>
      <c r="H180" s="360"/>
      <c r="I180" s="360"/>
      <c r="J180" s="360"/>
      <c r="K180" s="360"/>
      <c r="L180" s="360"/>
    </row>
    <row r="181" spans="1:12" x14ac:dyDescent="0.25">
      <c r="A181" s="361">
        <v>10</v>
      </c>
      <c r="B181" s="157" t="s">
        <v>75</v>
      </c>
      <c r="C181" s="171">
        <f>1.16*0.72</f>
        <v>0.84</v>
      </c>
      <c r="D181" s="360"/>
      <c r="E181" s="360"/>
      <c r="F181" s="360">
        <f>1.16*2+0.72*2</f>
        <v>3.76</v>
      </c>
      <c r="G181" s="360"/>
      <c r="H181" s="360"/>
      <c r="I181" s="360"/>
      <c r="J181" s="360"/>
      <c r="K181" s="360"/>
      <c r="L181" s="360"/>
    </row>
    <row r="182" spans="1:12" x14ac:dyDescent="0.25">
      <c r="A182" s="361">
        <v>11</v>
      </c>
      <c r="B182" s="157" t="s">
        <v>75</v>
      </c>
      <c r="C182" s="171">
        <f>1.24*0.715</f>
        <v>0.89</v>
      </c>
      <c r="D182" s="360"/>
      <c r="E182" s="360"/>
      <c r="F182" s="360">
        <f>1.24*2+0.715*2</f>
        <v>3.91</v>
      </c>
      <c r="G182" s="360"/>
      <c r="H182" s="360"/>
      <c r="I182" s="360"/>
      <c r="J182" s="360"/>
      <c r="K182" s="360"/>
      <c r="L182" s="360"/>
    </row>
    <row r="183" spans="1:12" x14ac:dyDescent="0.25">
      <c r="A183" s="361">
        <v>12</v>
      </c>
      <c r="B183" s="157" t="s">
        <v>75</v>
      </c>
      <c r="C183" s="171">
        <f>1.16*0.72</f>
        <v>0.84</v>
      </c>
      <c r="D183" s="360"/>
      <c r="E183" s="360"/>
      <c r="F183" s="360">
        <f>1.16*2+0.72*2</f>
        <v>3.76</v>
      </c>
      <c r="G183" s="360"/>
      <c r="H183" s="360"/>
      <c r="I183" s="360"/>
      <c r="J183" s="360"/>
      <c r="K183" s="360"/>
      <c r="L183" s="360"/>
    </row>
    <row r="184" spans="1:12" x14ac:dyDescent="0.25">
      <c r="A184" s="157"/>
      <c r="B184" s="157"/>
      <c r="C184" s="480">
        <f>SUM(C172:C183)</f>
        <v>10.29</v>
      </c>
      <c r="D184" s="360"/>
      <c r="E184" s="360"/>
      <c r="F184" s="481">
        <f>SUM(F172:F183)</f>
        <v>45.8</v>
      </c>
      <c r="G184" s="360"/>
      <c r="H184" s="360"/>
      <c r="I184" s="360"/>
      <c r="J184" s="360"/>
      <c r="K184" s="360"/>
      <c r="L184" s="360"/>
    </row>
    <row r="185" spans="1:12" x14ac:dyDescent="0.25">
      <c r="A185" s="157"/>
      <c r="B185" s="157"/>
      <c r="C185" s="360"/>
      <c r="D185" s="360"/>
      <c r="E185" s="360"/>
      <c r="F185" s="360"/>
      <c r="G185" s="360"/>
      <c r="H185" s="360"/>
      <c r="I185" s="360"/>
      <c r="J185" s="360"/>
      <c r="K185" s="360"/>
      <c r="L185" s="360"/>
    </row>
    <row r="189" spans="1:12" ht="15.75" x14ac:dyDescent="0.25">
      <c r="H189" s="485" t="s">
        <v>259</v>
      </c>
    </row>
    <row r="190" spans="1:12" ht="15.75" x14ac:dyDescent="0.25">
      <c r="H190" s="486">
        <f>0.2*19.4</f>
        <v>3.88</v>
      </c>
    </row>
    <row r="191" spans="1:12" ht="15.75" x14ac:dyDescent="0.25">
      <c r="H191" s="486">
        <f>0.14*2*1.075</f>
        <v>0.3</v>
      </c>
    </row>
    <row r="192" spans="1:12" ht="15.75" x14ac:dyDescent="0.25">
      <c r="H192" s="487">
        <f>3.14*0.009*0.009*15.36</f>
        <v>4.0000000000000001E-3</v>
      </c>
    </row>
    <row r="193" spans="8:8" ht="15.75" x14ac:dyDescent="0.25">
      <c r="H193" s="487">
        <f>3.14*0.01*0.01*26.52</f>
        <v>8.0000000000000002E-3</v>
      </c>
    </row>
    <row r="194" spans="8:8" ht="15.75" x14ac:dyDescent="0.25">
      <c r="H194" s="488">
        <f>SUM(H190:H193)</f>
        <v>4.1900000000000004</v>
      </c>
    </row>
  </sheetData>
  <mergeCells count="73">
    <mergeCell ref="AA31:AA35"/>
    <mergeCell ref="AD31:AD34"/>
    <mergeCell ref="E130:F130"/>
    <mergeCell ref="T38:T41"/>
    <mergeCell ref="V38:V42"/>
    <mergeCell ref="AA38:AA42"/>
    <mergeCell ref="AD38:AD41"/>
    <mergeCell ref="E116:F116"/>
    <mergeCell ref="S116:T116"/>
    <mergeCell ref="G38:G42"/>
    <mergeCell ref="J38:J41"/>
    <mergeCell ref="L38:L42"/>
    <mergeCell ref="S58:T58"/>
    <mergeCell ref="V31:V35"/>
    <mergeCell ref="I91:L91"/>
    <mergeCell ref="I77:L77"/>
    <mergeCell ref="V17:V21"/>
    <mergeCell ref="AA17:AA21"/>
    <mergeCell ref="AD17:AD20"/>
    <mergeCell ref="Q3:Q7"/>
    <mergeCell ref="T3:T6"/>
    <mergeCell ref="Q17:Q21"/>
    <mergeCell ref="T17:T20"/>
    <mergeCell ref="AD10:AD13"/>
    <mergeCell ref="T10:T13"/>
    <mergeCell ref="V10:V14"/>
    <mergeCell ref="AA10:AA14"/>
    <mergeCell ref="Q10:Q14"/>
    <mergeCell ref="Q24:Q28"/>
    <mergeCell ref="T24:T27"/>
    <mergeCell ref="T45:T48"/>
    <mergeCell ref="Q38:Q42"/>
    <mergeCell ref="Q45:Q49"/>
    <mergeCell ref="Q31:Q35"/>
    <mergeCell ref="T31:T34"/>
    <mergeCell ref="J24:J27"/>
    <mergeCell ref="L24:L28"/>
    <mergeCell ref="B31:B35"/>
    <mergeCell ref="L31:L35"/>
    <mergeCell ref="G31:G35"/>
    <mergeCell ref="J31:J34"/>
    <mergeCell ref="I116:L116"/>
    <mergeCell ref="I130:L130"/>
    <mergeCell ref="B17:B21"/>
    <mergeCell ref="B3:B7"/>
    <mergeCell ref="G10:G14"/>
    <mergeCell ref="J10:J13"/>
    <mergeCell ref="L10:L14"/>
    <mergeCell ref="G17:G21"/>
    <mergeCell ref="J17:J20"/>
    <mergeCell ref="L17:L21"/>
    <mergeCell ref="B10:B14"/>
    <mergeCell ref="L3:L7"/>
    <mergeCell ref="G3:G7"/>
    <mergeCell ref="J3:J6"/>
    <mergeCell ref="B24:B28"/>
    <mergeCell ref="G24:G28"/>
    <mergeCell ref="I157:L157"/>
    <mergeCell ref="I174:M174"/>
    <mergeCell ref="B38:B42"/>
    <mergeCell ref="E171:F171"/>
    <mergeCell ref="I171:M171"/>
    <mergeCell ref="B45:B49"/>
    <mergeCell ref="G45:G49"/>
    <mergeCell ref="J45:J48"/>
    <mergeCell ref="L45:L49"/>
    <mergeCell ref="E91:F91"/>
    <mergeCell ref="E74:F74"/>
    <mergeCell ref="I74:M74"/>
    <mergeCell ref="E154:F154"/>
    <mergeCell ref="I154:M154"/>
    <mergeCell ref="I62:L62"/>
    <mergeCell ref="E58:F58"/>
  </mergeCells>
  <phoneticPr fontId="2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ВОР</vt:lpstr>
      <vt:lpstr>Расч.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2026-06-04T06:35:02Z</dcterms:modified>
</cp:coreProperties>
</file>