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24226"/>
  <xr:revisionPtr revIDLastSave="0" documentId="13_ncr:1_{7663691B-D4E6-4911-8871-AE3234E9B939}" xr6:coauthVersionLast="47" xr6:coauthVersionMax="47" xr10:uidLastSave="{00000000-0000-0000-0000-000000000000}"/>
  <bookViews>
    <workbookView xWindow="28680" yWindow="-120" windowWidth="29040" windowHeight="15720" xr2:uid="{5E5014A3-F72D-4A88-9E27-95332D2FDCDD}"/>
  </bookViews>
  <sheets>
    <sheet name="ВОР" sheetId="4" r:id="rId1"/>
    <sheet name="Расчет" sheetId="5" r:id="rId2"/>
  </sheets>
  <definedNames>
    <definedName name="_xlnm._FilterDatabase" localSheetId="0" hidden="1">ВОР!$A$7:$L$672</definedName>
    <definedName name="_xlnm.Print_Area" localSheetId="0">ВОР!$A$1:$L$682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63" i="4" l="1"/>
  <c r="F661" i="4"/>
  <c r="F659" i="4"/>
  <c r="F657" i="4"/>
  <c r="F655" i="4"/>
  <c r="F654" i="4"/>
  <c r="F652" i="4"/>
  <c r="F650" i="4"/>
  <c r="F648" i="4"/>
  <c r="F647" i="4"/>
  <c r="F645" i="4"/>
  <c r="K642" i="4"/>
  <c r="I642" i="4" s="1"/>
  <c r="F642" i="4"/>
  <c r="K641" i="4"/>
  <c r="I641" i="4" s="1"/>
  <c r="F641" i="4"/>
  <c r="K640" i="4"/>
  <c r="I640" i="4" s="1"/>
  <c r="F640" i="4"/>
  <c r="K638" i="4"/>
  <c r="I638" i="4" s="1"/>
  <c r="F638" i="4"/>
  <c r="K637" i="4"/>
  <c r="I637" i="4" s="1"/>
  <c r="F637" i="4"/>
  <c r="K635" i="4"/>
  <c r="I635" i="4" s="1"/>
  <c r="F635" i="4"/>
  <c r="K634" i="4"/>
  <c r="I634" i="4" s="1"/>
  <c r="F634" i="4"/>
  <c r="K633" i="4"/>
  <c r="I633" i="4" s="1"/>
  <c r="F633" i="4"/>
  <c r="K632" i="4"/>
  <c r="I632" i="4" s="1"/>
  <c r="F632" i="4"/>
  <c r="F630" i="4"/>
  <c r="F629" i="4"/>
  <c r="F627" i="4"/>
  <c r="K626" i="4"/>
  <c r="I626" i="4" s="1"/>
  <c r="F626" i="4"/>
  <c r="K625" i="4"/>
  <c r="I625" i="4" s="1"/>
  <c r="F625" i="4"/>
  <c r="K624" i="4"/>
  <c r="I624" i="4" s="1"/>
  <c r="F624" i="4"/>
  <c r="K623" i="4"/>
  <c r="I623" i="4" s="1"/>
  <c r="F623" i="4"/>
  <c r="K622" i="4"/>
  <c r="I622" i="4" s="1"/>
  <c r="F622" i="4"/>
  <c r="K621" i="4"/>
  <c r="I621" i="4" s="1"/>
  <c r="F621" i="4"/>
  <c r="F620" i="4"/>
  <c r="F619" i="4"/>
  <c r="F618" i="4"/>
  <c r="F617" i="4"/>
  <c r="F616" i="4"/>
  <c r="F615" i="4"/>
  <c r="F614" i="4"/>
  <c r="F612" i="4"/>
  <c r="F611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6" i="4"/>
  <c r="F595" i="4"/>
  <c r="F594" i="4"/>
  <c r="F593" i="4"/>
  <c r="F591" i="4"/>
  <c r="F590" i="4"/>
  <c r="F588" i="4"/>
  <c r="F586" i="4"/>
  <c r="F584" i="4"/>
  <c r="F582" i="4"/>
  <c r="F581" i="4"/>
  <c r="F580" i="4"/>
  <c r="F579" i="4"/>
  <c r="F578" i="4"/>
  <c r="F577" i="4"/>
  <c r="F575" i="4"/>
  <c r="F574" i="4"/>
  <c r="F573" i="4"/>
  <c r="F571" i="4"/>
  <c r="F569" i="4"/>
  <c r="F567" i="4"/>
  <c r="F566" i="4"/>
  <c r="F564" i="4"/>
  <c r="F562" i="4"/>
  <c r="F561" i="4"/>
  <c r="F559" i="4"/>
  <c r="F558" i="4"/>
  <c r="F556" i="4"/>
  <c r="F554" i="4"/>
  <c r="F553" i="4"/>
  <c r="F551" i="4"/>
  <c r="F547" i="4"/>
  <c r="F545" i="4"/>
  <c r="F543" i="4"/>
  <c r="F541" i="4"/>
  <c r="F539" i="4"/>
  <c r="F538" i="4"/>
  <c r="F536" i="4"/>
  <c r="F534" i="4"/>
  <c r="F532" i="4"/>
  <c r="F531" i="4"/>
  <c r="F529" i="4"/>
  <c r="F526" i="4"/>
  <c r="K525" i="4"/>
  <c r="I525" i="4" s="1"/>
  <c r="F525" i="4"/>
  <c r="K524" i="4"/>
  <c r="I524" i="4" s="1"/>
  <c r="F524" i="4"/>
  <c r="F523" i="4"/>
  <c r="F522" i="4"/>
  <c r="F521" i="4"/>
  <c r="F520" i="4"/>
  <c r="F519" i="4"/>
  <c r="F518" i="4"/>
  <c r="F517" i="4"/>
  <c r="K515" i="4"/>
  <c r="I515" i="4" s="1"/>
  <c r="F515" i="4"/>
  <c r="K514" i="4"/>
  <c r="I514" i="4" s="1"/>
  <c r="F514" i="4"/>
  <c r="K513" i="4"/>
  <c r="I513" i="4" s="1"/>
  <c r="F513" i="4"/>
  <c r="K511" i="4"/>
  <c r="I511" i="4" s="1"/>
  <c r="F511" i="4"/>
  <c r="K509" i="4"/>
  <c r="I509" i="4" s="1"/>
  <c r="F509" i="4"/>
  <c r="K508" i="4"/>
  <c r="I508" i="4" s="1"/>
  <c r="F508" i="4"/>
  <c r="K507" i="4"/>
  <c r="I507" i="4" s="1"/>
  <c r="F507" i="4"/>
  <c r="K506" i="4"/>
  <c r="I506" i="4" s="1"/>
  <c r="F506" i="4"/>
  <c r="F504" i="4"/>
  <c r="F503" i="4"/>
  <c r="F501" i="4"/>
  <c r="K500" i="4"/>
  <c r="I500" i="4" s="1"/>
  <c r="F500" i="4"/>
  <c r="K499" i="4"/>
  <c r="I499" i="4" s="1"/>
  <c r="F499" i="4"/>
  <c r="K498" i="4"/>
  <c r="I498" i="4" s="1"/>
  <c r="F498" i="4"/>
  <c r="K497" i="4"/>
  <c r="I497" i="4" s="1"/>
  <c r="F497" i="4"/>
  <c r="F496" i="4"/>
  <c r="F495" i="4"/>
  <c r="F494" i="4"/>
  <c r="F493" i="4"/>
  <c r="F492" i="4"/>
  <c r="F490" i="4"/>
  <c r="F489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4" i="4"/>
  <c r="F473" i="4"/>
  <c r="F472" i="4"/>
  <c r="F471" i="4"/>
  <c r="F469" i="4"/>
  <c r="F468" i="4"/>
  <c r="F466" i="4"/>
  <c r="F464" i="4"/>
  <c r="F462" i="4"/>
  <c r="F460" i="4"/>
  <c r="F459" i="4"/>
  <c r="F458" i="4"/>
  <c r="F457" i="4"/>
  <c r="F456" i="4"/>
  <c r="F455" i="4"/>
  <c r="F453" i="4"/>
  <c r="F452" i="4"/>
  <c r="F451" i="4"/>
  <c r="F449" i="4"/>
  <c r="F447" i="4"/>
  <c r="F445" i="4"/>
  <c r="F444" i="4"/>
  <c r="F442" i="4"/>
  <c r="F440" i="4"/>
  <c r="F439" i="4"/>
  <c r="F437" i="4"/>
  <c r="F436" i="4"/>
  <c r="F434" i="4"/>
  <c r="F432" i="4"/>
  <c r="F431" i="4"/>
  <c r="F429" i="4"/>
  <c r="F425" i="4"/>
  <c r="F423" i="4"/>
  <c r="F421" i="4"/>
  <c r="F419" i="4"/>
  <c r="F417" i="4"/>
  <c r="F416" i="4"/>
  <c r="F414" i="4"/>
  <c r="F412" i="4"/>
  <c r="F410" i="4"/>
  <c r="F409" i="4"/>
  <c r="F407" i="4"/>
  <c r="F404" i="4"/>
  <c r="K403" i="4"/>
  <c r="I403" i="4" s="1"/>
  <c r="F403" i="4"/>
  <c r="K402" i="4"/>
  <c r="I402" i="4" s="1"/>
  <c r="F402" i="4"/>
  <c r="F401" i="4"/>
  <c r="F400" i="4"/>
  <c r="F399" i="4"/>
  <c r="F398" i="4"/>
  <c r="F397" i="4"/>
  <c r="F396" i="4"/>
  <c r="F395" i="4"/>
  <c r="K393" i="4"/>
  <c r="I393" i="4" s="1"/>
  <c r="F393" i="4"/>
  <c r="K392" i="4"/>
  <c r="I392" i="4" s="1"/>
  <c r="F392" i="4"/>
  <c r="K390" i="4"/>
  <c r="I390" i="4" s="1"/>
  <c r="F390" i="4"/>
  <c r="K388" i="4"/>
  <c r="I388" i="4" s="1"/>
  <c r="F388" i="4"/>
  <c r="K387" i="4"/>
  <c r="I387" i="4" s="1"/>
  <c r="F387" i="4"/>
  <c r="K386" i="4"/>
  <c r="I386" i="4" s="1"/>
  <c r="F386" i="4"/>
  <c r="F384" i="4"/>
  <c r="F383" i="4"/>
  <c r="F381" i="4"/>
  <c r="K380" i="4"/>
  <c r="I380" i="4" s="1"/>
  <c r="F380" i="4"/>
  <c r="K379" i="4"/>
  <c r="I379" i="4" s="1"/>
  <c r="F379" i="4"/>
  <c r="K378" i="4"/>
  <c r="I378" i="4" s="1"/>
  <c r="F378" i="4"/>
  <c r="K377" i="4"/>
  <c r="I377" i="4" s="1"/>
  <c r="F377" i="4"/>
  <c r="F376" i="4"/>
  <c r="F375" i="4"/>
  <c r="F374" i="4"/>
  <c r="F373" i="4"/>
  <c r="F372" i="4"/>
  <c r="F370" i="4"/>
  <c r="F369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4" i="4"/>
  <c r="F353" i="4"/>
  <c r="F352" i="4"/>
  <c r="F351" i="4"/>
  <c r="F349" i="4"/>
  <c r="F348" i="4"/>
  <c r="F346" i="4"/>
  <c r="F344" i="4"/>
  <c r="F342" i="4"/>
  <c r="F340" i="4"/>
  <c r="F339" i="4"/>
  <c r="F338" i="4"/>
  <c r="F337" i="4"/>
  <c r="F336" i="4"/>
  <c r="F335" i="4"/>
  <c r="F333" i="4"/>
  <c r="F332" i="4"/>
  <c r="F331" i="4"/>
  <c r="F329" i="4"/>
  <c r="F327" i="4"/>
  <c r="F325" i="4"/>
  <c r="F324" i="4"/>
  <c r="F322" i="4"/>
  <c r="F320" i="4"/>
  <c r="F319" i="4"/>
  <c r="F317" i="4"/>
  <c r="F316" i="4"/>
  <c r="F314" i="4"/>
  <c r="F312" i="4"/>
  <c r="F311" i="4"/>
  <c r="F309" i="4"/>
  <c r="F305" i="4"/>
  <c r="F303" i="4"/>
  <c r="F301" i="4"/>
  <c r="F299" i="4"/>
  <c r="F297" i="4"/>
  <c r="F296" i="4"/>
  <c r="F294" i="4"/>
  <c r="F292" i="4"/>
  <c r="F290" i="4"/>
  <c r="F289" i="4"/>
  <c r="F287" i="4"/>
  <c r="F284" i="4"/>
  <c r="K283" i="4"/>
  <c r="I283" i="4" s="1"/>
  <c r="F283" i="4"/>
  <c r="K282" i="4"/>
  <c r="I282" i="4" s="1"/>
  <c r="F282" i="4"/>
  <c r="F281" i="4"/>
  <c r="F280" i="4"/>
  <c r="F279" i="4"/>
  <c r="F278" i="4"/>
  <c r="F277" i="4"/>
  <c r="F276" i="4"/>
  <c r="F275" i="4"/>
  <c r="K273" i="4"/>
  <c r="I273" i="4" s="1"/>
  <c r="F273" i="4"/>
  <c r="K272" i="4"/>
  <c r="I272" i="4" s="1"/>
  <c r="F272" i="4"/>
  <c r="K270" i="4"/>
  <c r="I270" i="4" s="1"/>
  <c r="F270" i="4"/>
  <c r="K268" i="4"/>
  <c r="I268" i="4" s="1"/>
  <c r="F268" i="4"/>
  <c r="K267" i="4"/>
  <c r="I267" i="4" s="1"/>
  <c r="F267" i="4"/>
  <c r="K266" i="4"/>
  <c r="I266" i="4" s="1"/>
  <c r="F266" i="4"/>
  <c r="F264" i="4"/>
  <c r="F263" i="4"/>
  <c r="F261" i="4"/>
  <c r="K260" i="4"/>
  <c r="I260" i="4" s="1"/>
  <c r="F260" i="4"/>
  <c r="K259" i="4"/>
  <c r="I259" i="4" s="1"/>
  <c r="F259" i="4"/>
  <c r="K258" i="4"/>
  <c r="I258" i="4" s="1"/>
  <c r="F258" i="4"/>
  <c r="K257" i="4"/>
  <c r="I257" i="4" s="1"/>
  <c r="F257" i="4"/>
  <c r="K256" i="4"/>
  <c r="I256" i="4" s="1"/>
  <c r="F256" i="4"/>
  <c r="F255" i="4"/>
  <c r="F254" i="4"/>
  <c r="F253" i="4"/>
  <c r="F252" i="4"/>
  <c r="F251" i="4"/>
  <c r="F250" i="4"/>
  <c r="F248" i="4"/>
  <c r="F247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2" i="4"/>
  <c r="F231" i="4"/>
  <c r="F230" i="4"/>
  <c r="F229" i="4"/>
  <c r="F227" i="4"/>
  <c r="F226" i="4"/>
  <c r="F224" i="4"/>
  <c r="F222" i="4"/>
  <c r="F220" i="4"/>
  <c r="F218" i="4"/>
  <c r="F217" i="4"/>
  <c r="F216" i="4"/>
  <c r="F215" i="4"/>
  <c r="F214" i="4"/>
  <c r="F213" i="4"/>
  <c r="F211" i="4"/>
  <c r="F210" i="4"/>
  <c r="F209" i="4"/>
  <c r="F207" i="4"/>
  <c r="F205" i="4"/>
  <c r="F203" i="4"/>
  <c r="F202" i="4"/>
  <c r="F200" i="4"/>
  <c r="F198" i="4"/>
  <c r="F197" i="4"/>
  <c r="F195" i="4"/>
  <c r="F194" i="4"/>
  <c r="F192" i="4"/>
  <c r="F190" i="4"/>
  <c r="F189" i="4"/>
  <c r="F187" i="4"/>
  <c r="K183" i="4"/>
  <c r="I183" i="4" s="1"/>
  <c r="F183" i="4"/>
  <c r="K182" i="4"/>
  <c r="I182" i="4" s="1"/>
  <c r="F182" i="4"/>
  <c r="F180" i="4"/>
  <c r="K179" i="4"/>
  <c r="I179" i="4" s="1"/>
  <c r="F179" i="4"/>
  <c r="F178" i="4"/>
  <c r="F177" i="4"/>
  <c r="F176" i="4"/>
  <c r="F175" i="4"/>
  <c r="F174" i="4"/>
  <c r="F172" i="4"/>
  <c r="F171" i="4"/>
  <c r="F169" i="4"/>
  <c r="F167" i="4"/>
  <c r="F165" i="4"/>
  <c r="F163" i="4"/>
  <c r="F161" i="4"/>
  <c r="F160" i="4"/>
  <c r="F159" i="4"/>
  <c r="F158" i="4"/>
  <c r="F157" i="4"/>
  <c r="F156" i="4"/>
  <c r="F154" i="4"/>
  <c r="F153" i="4"/>
  <c r="F152" i="4"/>
  <c r="F150" i="4"/>
  <c r="F148" i="4"/>
  <c r="F146" i="4"/>
  <c r="F145" i="4"/>
  <c r="F143" i="4"/>
  <c r="F141" i="4"/>
  <c r="F140" i="4"/>
  <c r="F138" i="4"/>
  <c r="F137" i="4"/>
  <c r="F135" i="4"/>
  <c r="F133" i="4"/>
  <c r="F132" i="4"/>
  <c r="F130" i="4"/>
  <c r="F126" i="4"/>
  <c r="F124" i="4"/>
  <c r="F122" i="4"/>
  <c r="F120" i="4"/>
  <c r="F118" i="4"/>
  <c r="F117" i="4"/>
  <c r="F115" i="4"/>
  <c r="F113" i="4"/>
  <c r="F111" i="4"/>
  <c r="F110" i="4"/>
  <c r="F108" i="4"/>
  <c r="K105" i="4"/>
  <c r="I105" i="4" s="1"/>
  <c r="F105" i="4"/>
  <c r="K104" i="4"/>
  <c r="I104" i="4" s="1"/>
  <c r="F104" i="4"/>
  <c r="K102" i="4"/>
  <c r="I102" i="4" s="1"/>
  <c r="F102" i="4"/>
  <c r="K100" i="4"/>
  <c r="I100" i="4" s="1"/>
  <c r="F100" i="4"/>
  <c r="K99" i="4"/>
  <c r="I99" i="4" s="1"/>
  <c r="F99" i="4"/>
  <c r="K97" i="4"/>
  <c r="I97" i="4" s="1"/>
  <c r="F97" i="4"/>
  <c r="K96" i="4"/>
  <c r="I96" i="4" s="1"/>
  <c r="F96" i="4"/>
  <c r="K95" i="4"/>
  <c r="I95" i="4" s="1"/>
  <c r="F95" i="4"/>
  <c r="K94" i="4"/>
  <c r="I94" i="4" s="1"/>
  <c r="F94" i="4"/>
  <c r="F92" i="4"/>
  <c r="F91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2" i="4"/>
  <c r="F71" i="4"/>
  <c r="F69" i="4"/>
  <c r="F68" i="4"/>
  <c r="F67" i="4"/>
  <c r="F66" i="4"/>
  <c r="F65" i="4"/>
  <c r="F64" i="4"/>
  <c r="F63" i="4"/>
  <c r="F62" i="4"/>
  <c r="F61" i="4"/>
  <c r="F60" i="4"/>
  <c r="F59" i="4"/>
  <c r="F58" i="4"/>
  <c r="F56" i="4"/>
  <c r="F55" i="4"/>
  <c r="F54" i="4"/>
  <c r="F53" i="4"/>
  <c r="F51" i="4"/>
  <c r="F50" i="4"/>
  <c r="F48" i="4"/>
  <c r="F46" i="4"/>
  <c r="F44" i="4"/>
  <c r="F42" i="4"/>
  <c r="F41" i="4"/>
  <c r="F40" i="4"/>
  <c r="F39" i="4"/>
  <c r="F38" i="4"/>
  <c r="F37" i="4"/>
  <c r="F35" i="4"/>
  <c r="F34" i="4"/>
  <c r="F33" i="4"/>
  <c r="F31" i="4"/>
  <c r="F29" i="4"/>
  <c r="F27" i="4"/>
  <c r="F26" i="4"/>
  <c r="F24" i="4"/>
  <c r="F22" i="4"/>
  <c r="F21" i="4"/>
  <c r="F19" i="4"/>
  <c r="F18" i="4"/>
  <c r="F16" i="4"/>
  <c r="F14" i="4"/>
  <c r="F13" i="4"/>
  <c r="F662" i="4"/>
  <c r="F660" i="4"/>
  <c r="F658" i="4"/>
  <c r="F656" i="4"/>
  <c r="F653" i="4"/>
  <c r="F651" i="4"/>
  <c r="F649" i="4"/>
  <c r="F646" i="4"/>
  <c r="F644" i="4"/>
  <c r="F639" i="4"/>
  <c r="F636" i="4"/>
  <c r="F631" i="4"/>
  <c r="J628" i="4"/>
  <c r="I628" i="4" s="1"/>
  <c r="F628" i="4"/>
  <c r="F613" i="4"/>
  <c r="F610" i="4"/>
  <c r="J597" i="4"/>
  <c r="I597" i="4" s="1"/>
  <c r="F597" i="4"/>
  <c r="J592" i="4"/>
  <c r="I592" i="4" s="1"/>
  <c r="F592" i="4"/>
  <c r="J589" i="4"/>
  <c r="I589" i="4" s="1"/>
  <c r="F589" i="4"/>
  <c r="J587" i="4"/>
  <c r="I587" i="4" s="1"/>
  <c r="F587" i="4"/>
  <c r="J585" i="4"/>
  <c r="I585" i="4" s="1"/>
  <c r="F585" i="4"/>
  <c r="J583" i="4"/>
  <c r="I583" i="4" s="1"/>
  <c r="F583" i="4"/>
  <c r="F576" i="4"/>
  <c r="F572" i="4"/>
  <c r="F570" i="4"/>
  <c r="F568" i="4"/>
  <c r="F565" i="4"/>
  <c r="F563" i="4"/>
  <c r="F560" i="4"/>
  <c r="F557" i="4"/>
  <c r="F555" i="4"/>
  <c r="F552" i="4"/>
  <c r="F550" i="4"/>
  <c r="F546" i="4"/>
  <c r="F544" i="4"/>
  <c r="F542" i="4"/>
  <c r="F540" i="4"/>
  <c r="F537" i="4"/>
  <c r="F535" i="4"/>
  <c r="F533" i="4"/>
  <c r="F530" i="4"/>
  <c r="F528" i="4"/>
  <c r="J516" i="4"/>
  <c r="I516" i="4" s="1"/>
  <c r="F516" i="4"/>
  <c r="F512" i="4"/>
  <c r="F510" i="4"/>
  <c r="F505" i="4"/>
  <c r="J502" i="4"/>
  <c r="I502" i="4" s="1"/>
  <c r="F502" i="4"/>
  <c r="F491" i="4"/>
  <c r="F488" i="4"/>
  <c r="J475" i="4"/>
  <c r="I475" i="4" s="1"/>
  <c r="F475" i="4"/>
  <c r="J470" i="4"/>
  <c r="I470" i="4" s="1"/>
  <c r="F470" i="4"/>
  <c r="J467" i="4"/>
  <c r="I467" i="4" s="1"/>
  <c r="F467" i="4"/>
  <c r="J465" i="4"/>
  <c r="I465" i="4" s="1"/>
  <c r="F465" i="4"/>
  <c r="J463" i="4"/>
  <c r="I463" i="4" s="1"/>
  <c r="F463" i="4"/>
  <c r="J461" i="4"/>
  <c r="I461" i="4" s="1"/>
  <c r="F461" i="4"/>
  <c r="F454" i="4"/>
  <c r="F450" i="4"/>
  <c r="F448" i="4"/>
  <c r="F446" i="4"/>
  <c r="F443" i="4"/>
  <c r="F441" i="4"/>
  <c r="F438" i="4"/>
  <c r="F435" i="4"/>
  <c r="F433" i="4"/>
  <c r="F430" i="4"/>
  <c r="F428" i="4"/>
  <c r="F424" i="4"/>
  <c r="F422" i="4"/>
  <c r="F420" i="4"/>
  <c r="F418" i="4"/>
  <c r="F415" i="4"/>
  <c r="F413" i="4"/>
  <c r="F411" i="4"/>
  <c r="F408" i="4"/>
  <c r="F406" i="4"/>
  <c r="J394" i="4"/>
  <c r="I394" i="4" s="1"/>
  <c r="F394" i="4"/>
  <c r="F391" i="4"/>
  <c r="F389" i="4"/>
  <c r="F385" i="4"/>
  <c r="F382" i="4"/>
  <c r="F371" i="4"/>
  <c r="F368" i="4"/>
  <c r="J355" i="4"/>
  <c r="I355" i="4" s="1"/>
  <c r="F355" i="4"/>
  <c r="J350" i="4"/>
  <c r="I350" i="4" s="1"/>
  <c r="F350" i="4"/>
  <c r="J347" i="4"/>
  <c r="I347" i="4" s="1"/>
  <c r="F347" i="4"/>
  <c r="J345" i="4"/>
  <c r="I345" i="4" s="1"/>
  <c r="F345" i="4"/>
  <c r="J343" i="4"/>
  <c r="I343" i="4" s="1"/>
  <c r="F343" i="4"/>
  <c r="J341" i="4"/>
  <c r="I341" i="4" s="1"/>
  <c r="F341" i="4"/>
  <c r="F334" i="4"/>
  <c r="F330" i="4"/>
  <c r="F328" i="4"/>
  <c r="F326" i="4"/>
  <c r="F323" i="4"/>
  <c r="F321" i="4"/>
  <c r="F318" i="4"/>
  <c r="F315" i="4"/>
  <c r="F313" i="4"/>
  <c r="F310" i="4"/>
  <c r="F308" i="4"/>
  <c r="F304" i="4"/>
  <c r="F302" i="4"/>
  <c r="F300" i="4"/>
  <c r="F298" i="4"/>
  <c r="F295" i="4"/>
  <c r="F293" i="4"/>
  <c r="F291" i="4"/>
  <c r="F288" i="4"/>
  <c r="F286" i="4"/>
  <c r="J274" i="4"/>
  <c r="I274" i="4" s="1"/>
  <c r="F274" i="4"/>
  <c r="F271" i="4"/>
  <c r="F269" i="4"/>
  <c r="F265" i="4"/>
  <c r="F262" i="4"/>
  <c r="F249" i="4"/>
  <c r="F246" i="4"/>
  <c r="J233" i="4"/>
  <c r="I233" i="4" s="1"/>
  <c r="F233" i="4"/>
  <c r="J228" i="4"/>
  <c r="I228" i="4" s="1"/>
  <c r="F228" i="4"/>
  <c r="J225" i="4"/>
  <c r="I225" i="4" s="1"/>
  <c r="F225" i="4"/>
  <c r="J223" i="4"/>
  <c r="I223" i="4" s="1"/>
  <c r="F223" i="4"/>
  <c r="J221" i="4"/>
  <c r="I221" i="4" s="1"/>
  <c r="F221" i="4"/>
  <c r="J219" i="4"/>
  <c r="I219" i="4" s="1"/>
  <c r="F219" i="4"/>
  <c r="F212" i="4"/>
  <c r="F208" i="4"/>
  <c r="F206" i="4"/>
  <c r="F204" i="4"/>
  <c r="F201" i="4"/>
  <c r="F199" i="4"/>
  <c r="F196" i="4"/>
  <c r="F193" i="4"/>
  <c r="F191" i="4"/>
  <c r="F188" i="4"/>
  <c r="F186" i="4"/>
  <c r="F181" i="4"/>
  <c r="F173" i="4"/>
  <c r="J170" i="4"/>
  <c r="I170" i="4" s="1"/>
  <c r="F170" i="4"/>
  <c r="J168" i="4"/>
  <c r="I168" i="4" s="1"/>
  <c r="F168" i="4"/>
  <c r="J166" i="4"/>
  <c r="I166" i="4" s="1"/>
  <c r="F166" i="4"/>
  <c r="F164" i="4"/>
  <c r="F162" i="4"/>
  <c r="F155" i="4"/>
  <c r="F151" i="4"/>
  <c r="F149" i="4"/>
  <c r="F147" i="4"/>
  <c r="F144" i="4"/>
  <c r="F142" i="4"/>
  <c r="F139" i="4"/>
  <c r="F136" i="4"/>
  <c r="F134" i="4"/>
  <c r="F131" i="4"/>
  <c r="F129" i="4"/>
  <c r="F125" i="4"/>
  <c r="F123" i="4"/>
  <c r="F121" i="4"/>
  <c r="F119" i="4"/>
  <c r="F116" i="4"/>
  <c r="F114" i="4"/>
  <c r="F112" i="4"/>
  <c r="F109" i="4"/>
  <c r="F107" i="4"/>
  <c r="F103" i="4"/>
  <c r="F101" i="4"/>
  <c r="F98" i="4"/>
  <c r="F93" i="4"/>
  <c r="F90" i="4"/>
  <c r="F73" i="4"/>
  <c r="F70" i="4"/>
  <c r="J57" i="4"/>
  <c r="I57" i="4" s="1"/>
  <c r="F57" i="4"/>
  <c r="J52" i="4"/>
  <c r="I52" i="4" s="1"/>
  <c r="F52" i="4"/>
  <c r="J49" i="4"/>
  <c r="I49" i="4" s="1"/>
  <c r="F49" i="4"/>
  <c r="F47" i="4"/>
  <c r="J45" i="4"/>
  <c r="I45" i="4" s="1"/>
  <c r="F45" i="4"/>
  <c r="J43" i="4"/>
  <c r="I43" i="4" s="1"/>
  <c r="F43" i="4"/>
  <c r="F36" i="4"/>
  <c r="F32" i="4"/>
  <c r="F30" i="4"/>
  <c r="F28" i="4"/>
  <c r="F25" i="4"/>
  <c r="F23" i="4"/>
  <c r="F20" i="4"/>
  <c r="F17" i="4"/>
  <c r="F15" i="4"/>
  <c r="F12" i="4"/>
  <c r="F10" i="4"/>
  <c r="E644" i="4" l="1"/>
  <c r="J644" i="4" s="1"/>
  <c r="I644" i="4" s="1"/>
  <c r="E636" i="4"/>
  <c r="J636" i="4" s="1"/>
  <c r="I636" i="4" s="1"/>
  <c r="E620" i="4"/>
  <c r="K620" i="4" s="1"/>
  <c r="I620" i="4" s="1"/>
  <c r="E619" i="4"/>
  <c r="K619" i="4" s="1"/>
  <c r="I619" i="4" s="1"/>
  <c r="E618" i="4"/>
  <c r="K618" i="4" s="1"/>
  <c r="I618" i="4" s="1"/>
  <c r="E617" i="4"/>
  <c r="K617" i="4" s="1"/>
  <c r="I617" i="4" s="1"/>
  <c r="E616" i="4"/>
  <c r="K616" i="4" s="1"/>
  <c r="I616" i="4" s="1"/>
  <c r="E615" i="4"/>
  <c r="K615" i="4" s="1"/>
  <c r="I615" i="4" s="1"/>
  <c r="E613" i="4"/>
  <c r="J613" i="4" s="1"/>
  <c r="I613" i="4" s="1"/>
  <c r="E572" i="4"/>
  <c r="J572" i="4" s="1"/>
  <c r="I572" i="4" s="1"/>
  <c r="E565" i="4"/>
  <c r="J565" i="4" s="1"/>
  <c r="I565" i="4" s="1"/>
  <c r="E555" i="4"/>
  <c r="J555" i="4" s="1"/>
  <c r="I555" i="4" s="1"/>
  <c r="D659" i="4"/>
  <c r="A643" i="4"/>
  <c r="E639" i="4"/>
  <c r="J639" i="4" s="1"/>
  <c r="I639" i="4" s="1"/>
  <c r="E631" i="4"/>
  <c r="J631" i="4" s="1"/>
  <c r="I631" i="4" s="1"/>
  <c r="E630" i="4"/>
  <c r="K630" i="4" s="1"/>
  <c r="I630" i="4" s="1"/>
  <c r="E629" i="4"/>
  <c r="K629" i="4" s="1"/>
  <c r="I629" i="4" s="1"/>
  <c r="E612" i="4"/>
  <c r="K612" i="4" s="1"/>
  <c r="I612" i="4" s="1"/>
  <c r="E611" i="4"/>
  <c r="K611" i="4" s="1"/>
  <c r="I611" i="4" s="1"/>
  <c r="E610" i="4"/>
  <c r="J610" i="4" s="1"/>
  <c r="I610" i="4" s="1"/>
  <c r="E609" i="4"/>
  <c r="K609" i="4" s="1"/>
  <c r="I609" i="4" s="1"/>
  <c r="E608" i="4"/>
  <c r="K608" i="4" s="1"/>
  <c r="I608" i="4" s="1"/>
  <c r="E607" i="4"/>
  <c r="K607" i="4" s="1"/>
  <c r="I607" i="4" s="1"/>
  <c r="E606" i="4"/>
  <c r="K606" i="4" s="1"/>
  <c r="I606" i="4" s="1"/>
  <c r="E605" i="4"/>
  <c r="K605" i="4" s="1"/>
  <c r="I605" i="4" s="1"/>
  <c r="E604" i="4"/>
  <c r="K604" i="4" s="1"/>
  <c r="I604" i="4" s="1"/>
  <c r="E603" i="4"/>
  <c r="K603" i="4" s="1"/>
  <c r="I603" i="4" s="1"/>
  <c r="E602" i="4"/>
  <c r="K602" i="4" s="1"/>
  <c r="I602" i="4" s="1"/>
  <c r="E601" i="4"/>
  <c r="K601" i="4" s="1"/>
  <c r="I601" i="4" s="1"/>
  <c r="E600" i="4"/>
  <c r="K600" i="4" s="1"/>
  <c r="I600" i="4" s="1"/>
  <c r="E599" i="4"/>
  <c r="K599" i="4" s="1"/>
  <c r="I599" i="4" s="1"/>
  <c r="E598" i="4"/>
  <c r="K598" i="4" s="1"/>
  <c r="I598" i="4" s="1"/>
  <c r="E596" i="4"/>
  <c r="K596" i="4" s="1"/>
  <c r="I596" i="4" s="1"/>
  <c r="E595" i="4"/>
  <c r="K595" i="4" s="1"/>
  <c r="I595" i="4" s="1"/>
  <c r="E594" i="4"/>
  <c r="K594" i="4" s="1"/>
  <c r="I594" i="4" s="1"/>
  <c r="E593" i="4"/>
  <c r="K593" i="4" s="1"/>
  <c r="I593" i="4" s="1"/>
  <c r="E591" i="4"/>
  <c r="K591" i="4" s="1"/>
  <c r="I591" i="4" s="1"/>
  <c r="E590" i="4"/>
  <c r="K590" i="4" s="1"/>
  <c r="I590" i="4" s="1"/>
  <c r="E588" i="4"/>
  <c r="K588" i="4" s="1"/>
  <c r="I588" i="4" s="1"/>
  <c r="E586" i="4"/>
  <c r="K586" i="4" s="1"/>
  <c r="I586" i="4" s="1"/>
  <c r="E584" i="4"/>
  <c r="K584" i="4" s="1"/>
  <c r="I584" i="4" s="1"/>
  <c r="O67" i="5"/>
  <c r="F63" i="5"/>
  <c r="E568" i="4" s="1"/>
  <c r="J568" i="4" s="1"/>
  <c r="I568" i="4" s="1"/>
  <c r="K62" i="5"/>
  <c r="J62" i="5"/>
  <c r="I62" i="5"/>
  <c r="J60" i="5"/>
  <c r="I60" i="5"/>
  <c r="K59" i="5"/>
  <c r="J59" i="5"/>
  <c r="I59" i="5"/>
  <c r="E469" i="4"/>
  <c r="K469" i="4" s="1"/>
  <c r="I469" i="4" s="1"/>
  <c r="E468" i="4"/>
  <c r="K468" i="4" s="1"/>
  <c r="I468" i="4" s="1"/>
  <c r="E526" i="4"/>
  <c r="K526" i="4" s="1"/>
  <c r="I526" i="4" s="1"/>
  <c r="E523" i="4"/>
  <c r="K523" i="4" s="1"/>
  <c r="I523" i="4" s="1"/>
  <c r="E522" i="4"/>
  <c r="K522" i="4" s="1"/>
  <c r="I522" i="4" s="1"/>
  <c r="E521" i="4"/>
  <c r="K521" i="4" s="1"/>
  <c r="I521" i="4" s="1"/>
  <c r="E520" i="4"/>
  <c r="K520" i="4" s="1"/>
  <c r="I520" i="4" s="1"/>
  <c r="E519" i="4"/>
  <c r="K519" i="4" s="1"/>
  <c r="I519" i="4" s="1"/>
  <c r="E518" i="4"/>
  <c r="K518" i="4" s="1"/>
  <c r="I518" i="4" s="1"/>
  <c r="E517" i="4"/>
  <c r="K517" i="4" s="1"/>
  <c r="I517" i="4" s="1"/>
  <c r="E496" i="4"/>
  <c r="K496" i="4" s="1"/>
  <c r="I496" i="4" s="1"/>
  <c r="E495" i="4"/>
  <c r="K495" i="4" s="1"/>
  <c r="I495" i="4" s="1"/>
  <c r="E494" i="4"/>
  <c r="K494" i="4" s="1"/>
  <c r="I494" i="4" s="1"/>
  <c r="E493" i="4"/>
  <c r="K493" i="4" s="1"/>
  <c r="I493" i="4" s="1"/>
  <c r="E491" i="4"/>
  <c r="J491" i="4" s="1"/>
  <c r="I491" i="4" s="1"/>
  <c r="E375" i="4"/>
  <c r="K375" i="4" s="1"/>
  <c r="I375" i="4" s="1"/>
  <c r="E371" i="4"/>
  <c r="J371" i="4" s="1"/>
  <c r="I371" i="4" s="1"/>
  <c r="E265" i="4"/>
  <c r="J265" i="4" s="1"/>
  <c r="I265" i="4" s="1"/>
  <c r="E556" i="4" l="1"/>
  <c r="K556" i="4" s="1"/>
  <c r="I556" i="4" s="1"/>
  <c r="E567" i="4"/>
  <c r="K567" i="4" s="1"/>
  <c r="I567" i="4" s="1"/>
  <c r="E575" i="4"/>
  <c r="K575" i="4" s="1"/>
  <c r="I575" i="4" s="1"/>
  <c r="E627" i="4"/>
  <c r="K627" i="4" s="1"/>
  <c r="I627" i="4" s="1"/>
  <c r="E557" i="4"/>
  <c r="J557" i="4" s="1"/>
  <c r="I557" i="4" s="1"/>
  <c r="E649" i="4"/>
  <c r="J649" i="4" s="1"/>
  <c r="I649" i="4" s="1"/>
  <c r="K64" i="5"/>
  <c r="E654" i="4" s="1"/>
  <c r="K654" i="4" s="1"/>
  <c r="I654" i="4" s="1"/>
  <c r="E614" i="4"/>
  <c r="K614" i="4" s="1"/>
  <c r="I614" i="4" s="1"/>
  <c r="I64" i="5"/>
  <c r="J64" i="5"/>
  <c r="E550" i="4"/>
  <c r="J550" i="4" s="1"/>
  <c r="I550" i="4" s="1"/>
  <c r="E569" i="4"/>
  <c r="K569" i="4" s="1"/>
  <c r="I569" i="4" s="1"/>
  <c r="E573" i="4"/>
  <c r="K573" i="4" s="1"/>
  <c r="I573" i="4" s="1"/>
  <c r="E574" i="4"/>
  <c r="K574" i="4" s="1"/>
  <c r="I574" i="4" s="1"/>
  <c r="E576" i="4"/>
  <c r="J576" i="4" s="1"/>
  <c r="I576" i="4" s="1"/>
  <c r="E645" i="4"/>
  <c r="K645" i="4" s="1"/>
  <c r="I645" i="4" s="1"/>
  <c r="E560" i="4"/>
  <c r="J560" i="4" s="1"/>
  <c r="I560" i="4" s="1"/>
  <c r="E563" i="4"/>
  <c r="J563" i="4" s="1"/>
  <c r="I563" i="4" s="1"/>
  <c r="E662" i="4"/>
  <c r="J662" i="4" s="1"/>
  <c r="I662" i="4" s="1"/>
  <c r="E653" i="4"/>
  <c r="J653" i="4" s="1"/>
  <c r="I653" i="4" s="1"/>
  <c r="E660" i="4"/>
  <c r="J660" i="4" s="1"/>
  <c r="I660" i="4" s="1"/>
  <c r="E658" i="4"/>
  <c r="J658" i="4" s="1"/>
  <c r="I658" i="4" s="1"/>
  <c r="E646" i="4"/>
  <c r="J646" i="4" s="1"/>
  <c r="I646" i="4" s="1"/>
  <c r="E656" i="4"/>
  <c r="J656" i="4" s="1"/>
  <c r="I656" i="4" s="1"/>
  <c r="E103" i="4"/>
  <c r="J103" i="4" s="1"/>
  <c r="I103" i="4" s="1"/>
  <c r="E101" i="4"/>
  <c r="J101" i="4" s="1"/>
  <c r="I101" i="4" s="1"/>
  <c r="E93" i="4"/>
  <c r="J93" i="4" s="1"/>
  <c r="I93" i="4" s="1"/>
  <c r="O12" i="5"/>
  <c r="E6" i="5"/>
  <c r="E5" i="5"/>
  <c r="E4" i="5"/>
  <c r="E528" i="4"/>
  <c r="J528" i="4" s="1"/>
  <c r="I528" i="4" s="1"/>
  <c r="E505" i="4"/>
  <c r="J505" i="4" s="1"/>
  <c r="I505" i="4" s="1"/>
  <c r="E510" i="4"/>
  <c r="J510" i="4" s="1"/>
  <c r="I510" i="4" s="1"/>
  <c r="E512" i="4"/>
  <c r="J512" i="4" s="1"/>
  <c r="I512" i="4" s="1"/>
  <c r="E501" i="4"/>
  <c r="K501" i="4" s="1"/>
  <c r="I501" i="4" s="1"/>
  <c r="E450" i="4"/>
  <c r="J450" i="4" s="1"/>
  <c r="I450" i="4" s="1"/>
  <c r="E443" i="4"/>
  <c r="J443" i="4" s="1"/>
  <c r="I443" i="4" s="1"/>
  <c r="E433" i="4"/>
  <c r="J433" i="4" s="1"/>
  <c r="I433" i="4" s="1"/>
  <c r="D543" i="4"/>
  <c r="A527" i="4"/>
  <c r="E503" i="4"/>
  <c r="K503" i="4" s="1"/>
  <c r="I503" i="4" s="1"/>
  <c r="E490" i="4"/>
  <c r="K490" i="4" s="1"/>
  <c r="I490" i="4" s="1"/>
  <c r="E489" i="4"/>
  <c r="K489" i="4" s="1"/>
  <c r="I489" i="4" s="1"/>
  <c r="E488" i="4"/>
  <c r="J488" i="4" s="1"/>
  <c r="I488" i="4" s="1"/>
  <c r="E487" i="4"/>
  <c r="K487" i="4" s="1"/>
  <c r="I487" i="4" s="1"/>
  <c r="E486" i="4"/>
  <c r="K486" i="4" s="1"/>
  <c r="I486" i="4" s="1"/>
  <c r="E485" i="4"/>
  <c r="K485" i="4" s="1"/>
  <c r="I485" i="4" s="1"/>
  <c r="E484" i="4"/>
  <c r="K484" i="4" s="1"/>
  <c r="I484" i="4" s="1"/>
  <c r="E483" i="4"/>
  <c r="K483" i="4" s="1"/>
  <c r="I483" i="4" s="1"/>
  <c r="E482" i="4"/>
  <c r="K482" i="4" s="1"/>
  <c r="I482" i="4" s="1"/>
  <c r="E481" i="4"/>
  <c r="K481" i="4" s="1"/>
  <c r="I481" i="4" s="1"/>
  <c r="E480" i="4"/>
  <c r="K480" i="4" s="1"/>
  <c r="I480" i="4" s="1"/>
  <c r="E479" i="4"/>
  <c r="K479" i="4" s="1"/>
  <c r="I479" i="4" s="1"/>
  <c r="E478" i="4"/>
  <c r="K478" i="4" s="1"/>
  <c r="I478" i="4" s="1"/>
  <c r="E477" i="4"/>
  <c r="K477" i="4" s="1"/>
  <c r="I477" i="4" s="1"/>
  <c r="E476" i="4"/>
  <c r="K476" i="4" s="1"/>
  <c r="I476" i="4" s="1"/>
  <c r="E474" i="4"/>
  <c r="K474" i="4" s="1"/>
  <c r="I474" i="4" s="1"/>
  <c r="E473" i="4"/>
  <c r="K473" i="4" s="1"/>
  <c r="I473" i="4" s="1"/>
  <c r="E472" i="4"/>
  <c r="K472" i="4" s="1"/>
  <c r="I472" i="4" s="1"/>
  <c r="E471" i="4"/>
  <c r="K471" i="4" s="1"/>
  <c r="I471" i="4" s="1"/>
  <c r="E466" i="4"/>
  <c r="K466" i="4" s="1"/>
  <c r="I466" i="4" s="1"/>
  <c r="E464" i="4"/>
  <c r="K464" i="4" s="1"/>
  <c r="I464" i="4" s="1"/>
  <c r="E462" i="4"/>
  <c r="K462" i="4" s="1"/>
  <c r="I462" i="4" s="1"/>
  <c r="O55" i="5"/>
  <c r="I50" i="5"/>
  <c r="F51" i="5"/>
  <c r="E446" i="4" s="1"/>
  <c r="J446" i="4" s="1"/>
  <c r="I446" i="4" s="1"/>
  <c r="K50" i="5"/>
  <c r="J48" i="5"/>
  <c r="I48" i="5"/>
  <c r="J50" i="5"/>
  <c r="K47" i="5"/>
  <c r="J47" i="5"/>
  <c r="I47" i="5"/>
  <c r="E406" i="4"/>
  <c r="J406" i="4" s="1"/>
  <c r="I406" i="4" s="1"/>
  <c r="E389" i="4"/>
  <c r="J389" i="4" s="1"/>
  <c r="I389" i="4" s="1"/>
  <c r="E385" i="4"/>
  <c r="J385" i="4" s="1"/>
  <c r="I385" i="4" s="1"/>
  <c r="E376" i="4"/>
  <c r="K376" i="4" s="1"/>
  <c r="I376" i="4" s="1"/>
  <c r="E374" i="4"/>
  <c r="K374" i="4" s="1"/>
  <c r="I374" i="4" s="1"/>
  <c r="E373" i="4"/>
  <c r="K373" i="4" s="1"/>
  <c r="I373" i="4" s="1"/>
  <c r="E330" i="4"/>
  <c r="J330" i="4" s="1"/>
  <c r="I330" i="4" s="1"/>
  <c r="E323" i="4"/>
  <c r="J323" i="4" s="1"/>
  <c r="I323" i="4" s="1"/>
  <c r="E313" i="4"/>
  <c r="J313" i="4" s="1"/>
  <c r="I313" i="4" s="1"/>
  <c r="O42" i="5"/>
  <c r="F40" i="5"/>
  <c r="E326" i="4" s="1"/>
  <c r="J326" i="4" s="1"/>
  <c r="I326" i="4" s="1"/>
  <c r="K39" i="5"/>
  <c r="J37" i="5"/>
  <c r="I37" i="5"/>
  <c r="J39" i="5"/>
  <c r="K36" i="5"/>
  <c r="J36" i="5"/>
  <c r="I36" i="5"/>
  <c r="I39" i="5"/>
  <c r="D421" i="4"/>
  <c r="A405" i="4"/>
  <c r="E404" i="4"/>
  <c r="K404" i="4" s="1"/>
  <c r="I404" i="4" s="1"/>
  <c r="E401" i="4"/>
  <c r="K401" i="4" s="1"/>
  <c r="I401" i="4" s="1"/>
  <c r="E400" i="4"/>
  <c r="K400" i="4" s="1"/>
  <c r="I400" i="4" s="1"/>
  <c r="E399" i="4"/>
  <c r="K399" i="4" s="1"/>
  <c r="I399" i="4" s="1"/>
  <c r="E398" i="4"/>
  <c r="K398" i="4" s="1"/>
  <c r="I398" i="4" s="1"/>
  <c r="E397" i="4"/>
  <c r="K397" i="4" s="1"/>
  <c r="I397" i="4" s="1"/>
  <c r="E396" i="4"/>
  <c r="K396" i="4" s="1"/>
  <c r="I396" i="4" s="1"/>
  <c r="E395" i="4"/>
  <c r="K395" i="4" s="1"/>
  <c r="I395" i="4" s="1"/>
  <c r="E391" i="4"/>
  <c r="J391" i="4" s="1"/>
  <c r="I391" i="4" s="1"/>
  <c r="E382" i="4"/>
  <c r="J382" i="4" s="1"/>
  <c r="I382" i="4" s="1"/>
  <c r="E370" i="4"/>
  <c r="K370" i="4" s="1"/>
  <c r="I370" i="4" s="1"/>
  <c r="E369" i="4"/>
  <c r="K369" i="4" s="1"/>
  <c r="I369" i="4" s="1"/>
  <c r="E368" i="4"/>
  <c r="J368" i="4" s="1"/>
  <c r="E367" i="4"/>
  <c r="K367" i="4" s="1"/>
  <c r="I367" i="4" s="1"/>
  <c r="E366" i="4"/>
  <c r="K366" i="4" s="1"/>
  <c r="I366" i="4" s="1"/>
  <c r="E365" i="4"/>
  <c r="K365" i="4" s="1"/>
  <c r="I365" i="4" s="1"/>
  <c r="E364" i="4"/>
  <c r="K364" i="4" s="1"/>
  <c r="I364" i="4" s="1"/>
  <c r="E363" i="4"/>
  <c r="K363" i="4" s="1"/>
  <c r="I363" i="4" s="1"/>
  <c r="E362" i="4"/>
  <c r="K362" i="4" s="1"/>
  <c r="I362" i="4" s="1"/>
  <c r="E361" i="4"/>
  <c r="K361" i="4" s="1"/>
  <c r="I361" i="4" s="1"/>
  <c r="E360" i="4"/>
  <c r="K360" i="4" s="1"/>
  <c r="I360" i="4" s="1"/>
  <c r="E359" i="4"/>
  <c r="K359" i="4" s="1"/>
  <c r="I359" i="4" s="1"/>
  <c r="E358" i="4"/>
  <c r="K358" i="4" s="1"/>
  <c r="I358" i="4" s="1"/>
  <c r="E357" i="4"/>
  <c r="K357" i="4" s="1"/>
  <c r="I357" i="4" s="1"/>
  <c r="E356" i="4"/>
  <c r="K356" i="4" s="1"/>
  <c r="I356" i="4" s="1"/>
  <c r="E354" i="4"/>
  <c r="K354" i="4" s="1"/>
  <c r="I354" i="4" s="1"/>
  <c r="E353" i="4"/>
  <c r="K353" i="4" s="1"/>
  <c r="I353" i="4" s="1"/>
  <c r="E352" i="4"/>
  <c r="K352" i="4" s="1"/>
  <c r="I352" i="4" s="1"/>
  <c r="E351" i="4"/>
  <c r="K351" i="4" s="1"/>
  <c r="I351" i="4" s="1"/>
  <c r="E349" i="4"/>
  <c r="K349" i="4" s="1"/>
  <c r="I349" i="4" s="1"/>
  <c r="E348" i="4"/>
  <c r="K348" i="4" s="1"/>
  <c r="I348" i="4" s="1"/>
  <c r="E346" i="4"/>
  <c r="K346" i="4" s="1"/>
  <c r="I346" i="4" s="1"/>
  <c r="E344" i="4"/>
  <c r="K344" i="4" s="1"/>
  <c r="I344" i="4" s="1"/>
  <c r="E342" i="4"/>
  <c r="K342" i="4" s="1"/>
  <c r="I342" i="4" s="1"/>
  <c r="E284" i="4"/>
  <c r="K284" i="4" s="1"/>
  <c r="I284" i="4" s="1"/>
  <c r="E279" i="4"/>
  <c r="K279" i="4" s="1"/>
  <c r="I279" i="4" s="1"/>
  <c r="E278" i="4"/>
  <c r="K278" i="4" s="1"/>
  <c r="I278" i="4" s="1"/>
  <c r="E277" i="4"/>
  <c r="K277" i="4" s="1"/>
  <c r="I277" i="4" s="1"/>
  <c r="E276" i="4"/>
  <c r="K276" i="4" s="1"/>
  <c r="I276" i="4" s="1"/>
  <c r="E275" i="4"/>
  <c r="K275" i="4" s="1"/>
  <c r="I275" i="4" s="1"/>
  <c r="E280" i="4"/>
  <c r="K280" i="4" s="1"/>
  <c r="I280" i="4" s="1"/>
  <c r="E249" i="4"/>
  <c r="J249" i="4" s="1"/>
  <c r="I249" i="4" s="1"/>
  <c r="E286" i="4"/>
  <c r="J286" i="4" s="1"/>
  <c r="I286" i="4" s="1"/>
  <c r="E269" i="4"/>
  <c r="J269" i="4" s="1"/>
  <c r="I269" i="4" s="1"/>
  <c r="E271" i="4"/>
  <c r="J271" i="4" s="1"/>
  <c r="I271" i="4" s="1"/>
  <c r="E262" i="4"/>
  <c r="J262" i="4" s="1"/>
  <c r="I262" i="4" s="1"/>
  <c r="E255" i="4"/>
  <c r="K255" i="4" s="1"/>
  <c r="I255" i="4" s="1"/>
  <c r="E281" i="4"/>
  <c r="K281" i="4" s="1"/>
  <c r="I281" i="4" s="1"/>
  <c r="E253" i="4"/>
  <c r="K253" i="4" s="1"/>
  <c r="I253" i="4" s="1"/>
  <c r="E252" i="4"/>
  <c r="K252" i="4" s="1"/>
  <c r="I252" i="4" s="1"/>
  <c r="E251" i="4"/>
  <c r="K251" i="4" s="1"/>
  <c r="I251" i="4" s="1"/>
  <c r="E208" i="4"/>
  <c r="J208" i="4" s="1"/>
  <c r="I208" i="4" s="1"/>
  <c r="E201" i="4"/>
  <c r="J201" i="4" s="1"/>
  <c r="I201" i="4" s="1"/>
  <c r="E191" i="4"/>
  <c r="J191" i="4" s="1"/>
  <c r="I191" i="4" s="1"/>
  <c r="D301" i="4"/>
  <c r="A285" i="4"/>
  <c r="E254" i="4"/>
  <c r="K254" i="4" s="1"/>
  <c r="I254" i="4" s="1"/>
  <c r="E248" i="4"/>
  <c r="K248" i="4" s="1"/>
  <c r="I248" i="4" s="1"/>
  <c r="E247" i="4"/>
  <c r="K247" i="4" s="1"/>
  <c r="I247" i="4" s="1"/>
  <c r="E246" i="4"/>
  <c r="J246" i="4" s="1"/>
  <c r="I246" i="4" s="1"/>
  <c r="E245" i="4"/>
  <c r="K245" i="4" s="1"/>
  <c r="I245" i="4" s="1"/>
  <c r="E244" i="4"/>
  <c r="K244" i="4" s="1"/>
  <c r="I244" i="4" s="1"/>
  <c r="E243" i="4"/>
  <c r="K243" i="4" s="1"/>
  <c r="I243" i="4" s="1"/>
  <c r="E242" i="4"/>
  <c r="K242" i="4" s="1"/>
  <c r="I242" i="4" s="1"/>
  <c r="E241" i="4"/>
  <c r="K241" i="4" s="1"/>
  <c r="I241" i="4" s="1"/>
  <c r="E240" i="4"/>
  <c r="K240" i="4" s="1"/>
  <c r="I240" i="4" s="1"/>
  <c r="E239" i="4"/>
  <c r="K239" i="4" s="1"/>
  <c r="I239" i="4" s="1"/>
  <c r="E238" i="4"/>
  <c r="K238" i="4" s="1"/>
  <c r="I238" i="4" s="1"/>
  <c r="E237" i="4"/>
  <c r="K237" i="4" s="1"/>
  <c r="I237" i="4" s="1"/>
  <c r="E236" i="4"/>
  <c r="K236" i="4" s="1"/>
  <c r="I236" i="4" s="1"/>
  <c r="E235" i="4"/>
  <c r="K235" i="4" s="1"/>
  <c r="I235" i="4" s="1"/>
  <c r="E234" i="4"/>
  <c r="K234" i="4" s="1"/>
  <c r="I234" i="4" s="1"/>
  <c r="E232" i="4"/>
  <c r="K232" i="4" s="1"/>
  <c r="I232" i="4" s="1"/>
  <c r="E231" i="4"/>
  <c r="K231" i="4" s="1"/>
  <c r="I231" i="4" s="1"/>
  <c r="E230" i="4"/>
  <c r="K230" i="4" s="1"/>
  <c r="I230" i="4" s="1"/>
  <c r="E229" i="4"/>
  <c r="K229" i="4" s="1"/>
  <c r="I229" i="4" s="1"/>
  <c r="E227" i="4"/>
  <c r="K227" i="4" s="1"/>
  <c r="I227" i="4" s="1"/>
  <c r="E226" i="4"/>
  <c r="K226" i="4" s="1"/>
  <c r="I226" i="4" s="1"/>
  <c r="E224" i="4"/>
  <c r="K224" i="4" s="1"/>
  <c r="I224" i="4" s="1"/>
  <c r="E222" i="4"/>
  <c r="K222" i="4" s="1"/>
  <c r="I222" i="4" s="1"/>
  <c r="E220" i="4"/>
  <c r="K220" i="4" s="1"/>
  <c r="I220" i="4" s="1"/>
  <c r="I29" i="5"/>
  <c r="O31" i="5"/>
  <c r="F30" i="5"/>
  <c r="E204" i="4" s="1"/>
  <c r="J204" i="4" s="1"/>
  <c r="I204" i="4" s="1"/>
  <c r="K29" i="5"/>
  <c r="J27" i="5"/>
  <c r="I27" i="5"/>
  <c r="J29" i="5"/>
  <c r="K26" i="5"/>
  <c r="J26" i="5"/>
  <c r="I26" i="5"/>
  <c r="I368" i="4" l="1"/>
  <c r="E651" i="4"/>
  <c r="J651" i="4" s="1"/>
  <c r="I651" i="4" s="1"/>
  <c r="L64" i="5"/>
  <c r="E566" i="4" s="1"/>
  <c r="K566" i="4" s="1"/>
  <c r="I566" i="4" s="1"/>
  <c r="E418" i="4"/>
  <c r="J418" i="4" s="1"/>
  <c r="I418" i="4" s="1"/>
  <c r="E650" i="4"/>
  <c r="K650" i="4" s="1"/>
  <c r="I650" i="4" s="1"/>
  <c r="E577" i="4"/>
  <c r="K577" i="4" s="1"/>
  <c r="I577" i="4" s="1"/>
  <c r="E333" i="4"/>
  <c r="K333" i="4" s="1"/>
  <c r="I333" i="4" s="1"/>
  <c r="E540" i="4"/>
  <c r="J540" i="4" s="1"/>
  <c r="I540" i="4" s="1"/>
  <c r="E558" i="4"/>
  <c r="K558" i="4" s="1"/>
  <c r="I558" i="4" s="1"/>
  <c r="E205" i="4"/>
  <c r="K205" i="4" s="1"/>
  <c r="I205" i="4" s="1"/>
  <c r="E298" i="4"/>
  <c r="J298" i="4" s="1"/>
  <c r="I298" i="4" s="1"/>
  <c r="E383" i="4"/>
  <c r="K383" i="4" s="1"/>
  <c r="I383" i="4" s="1"/>
  <c r="E250" i="4"/>
  <c r="K250" i="4" s="1"/>
  <c r="I250" i="4" s="1"/>
  <c r="E570" i="4"/>
  <c r="J570" i="4" s="1"/>
  <c r="I570" i="4" s="1"/>
  <c r="E428" i="4"/>
  <c r="J428" i="4" s="1"/>
  <c r="I428" i="4" s="1"/>
  <c r="E203" i="4"/>
  <c r="K203" i="4" s="1"/>
  <c r="I203" i="4" s="1"/>
  <c r="E264" i="4"/>
  <c r="K264" i="4" s="1"/>
  <c r="I264" i="4" s="1"/>
  <c r="E559" i="4"/>
  <c r="K559" i="4" s="1"/>
  <c r="I559" i="4" s="1"/>
  <c r="E314" i="4"/>
  <c r="K314" i="4" s="1"/>
  <c r="I314" i="4" s="1"/>
  <c r="E441" i="4"/>
  <c r="J441" i="4" s="1"/>
  <c r="I441" i="4" s="1"/>
  <c r="E308" i="4"/>
  <c r="J308" i="4" s="1"/>
  <c r="I308" i="4" s="1"/>
  <c r="K41" i="5"/>
  <c r="E416" i="4" s="1"/>
  <c r="K416" i="4" s="1"/>
  <c r="I416" i="4" s="1"/>
  <c r="J52" i="5"/>
  <c r="K52" i="5"/>
  <c r="I52" i="5"/>
  <c r="E551" i="4"/>
  <c r="K551" i="4" s="1"/>
  <c r="I551" i="4" s="1"/>
  <c r="E552" i="4"/>
  <c r="J552" i="4" s="1"/>
  <c r="I552" i="4" s="1"/>
  <c r="E580" i="4"/>
  <c r="E578" i="4"/>
  <c r="K578" i="4" s="1"/>
  <c r="I578" i="4" s="1"/>
  <c r="E579" i="4"/>
  <c r="K579" i="4" s="1"/>
  <c r="I579" i="4" s="1"/>
  <c r="E582" i="4"/>
  <c r="K582" i="4" s="1"/>
  <c r="I582" i="4" s="1"/>
  <c r="E648" i="4"/>
  <c r="K648" i="4" s="1"/>
  <c r="I648" i="4" s="1"/>
  <c r="E647" i="4"/>
  <c r="K647" i="4" s="1"/>
  <c r="I647" i="4" s="1"/>
  <c r="E661" i="4"/>
  <c r="K661" i="4" s="1"/>
  <c r="I661" i="4" s="1"/>
  <c r="E564" i="4"/>
  <c r="K564" i="4" s="1"/>
  <c r="I564" i="4" s="1"/>
  <c r="E562" i="4"/>
  <c r="K562" i="4" s="1"/>
  <c r="I562" i="4" s="1"/>
  <c r="E561" i="4"/>
  <c r="K561" i="4" s="1"/>
  <c r="I561" i="4" s="1"/>
  <c r="E663" i="4"/>
  <c r="K663" i="4" s="1"/>
  <c r="I663" i="4" s="1"/>
  <c r="E659" i="4"/>
  <c r="K659" i="4" s="1"/>
  <c r="I659" i="4" s="1"/>
  <c r="E652" i="4"/>
  <c r="K652" i="4" s="1"/>
  <c r="I652" i="4" s="1"/>
  <c r="E657" i="4"/>
  <c r="K657" i="4" s="1"/>
  <c r="I657" i="4" s="1"/>
  <c r="E655" i="4"/>
  <c r="K655" i="4" s="1"/>
  <c r="I655" i="4" s="1"/>
  <c r="I31" i="5"/>
  <c r="I41" i="5"/>
  <c r="J31" i="5"/>
  <c r="K31" i="5"/>
  <c r="J41" i="5"/>
  <c r="E454" i="4"/>
  <c r="J454" i="4" s="1"/>
  <c r="I454" i="4" s="1"/>
  <c r="E447" i="4"/>
  <c r="K447" i="4" s="1"/>
  <c r="I447" i="4" s="1"/>
  <c r="E435" i="4"/>
  <c r="J435" i="4" s="1"/>
  <c r="I435" i="4" s="1"/>
  <c r="E434" i="4"/>
  <c r="K434" i="4" s="1"/>
  <c r="I434" i="4" s="1"/>
  <c r="E372" i="4"/>
  <c r="K372" i="4" s="1"/>
  <c r="I372" i="4" s="1"/>
  <c r="E453" i="4"/>
  <c r="K453" i="4" s="1"/>
  <c r="I453" i="4" s="1"/>
  <c r="E492" i="4"/>
  <c r="K492" i="4" s="1"/>
  <c r="I492" i="4" s="1"/>
  <c r="E445" i="4"/>
  <c r="K445" i="4" s="1"/>
  <c r="I445" i="4" s="1"/>
  <c r="E451" i="4"/>
  <c r="K451" i="4" s="1"/>
  <c r="I451" i="4" s="1"/>
  <c r="E533" i="4"/>
  <c r="J533" i="4" s="1"/>
  <c r="I533" i="4" s="1"/>
  <c r="E504" i="4"/>
  <c r="K504" i="4" s="1"/>
  <c r="I504" i="4" s="1"/>
  <c r="E546" i="4"/>
  <c r="J546" i="4" s="1"/>
  <c r="I546" i="4" s="1"/>
  <c r="E529" i="4"/>
  <c r="K529" i="4" s="1"/>
  <c r="I529" i="4" s="1"/>
  <c r="E452" i="4"/>
  <c r="K452" i="4" s="1"/>
  <c r="I452" i="4" s="1"/>
  <c r="E537" i="4"/>
  <c r="J537" i="4" s="1"/>
  <c r="I537" i="4" s="1"/>
  <c r="E544" i="4"/>
  <c r="J544" i="4" s="1"/>
  <c r="I544" i="4" s="1"/>
  <c r="E542" i="4"/>
  <c r="J542" i="4" s="1"/>
  <c r="I542" i="4" s="1"/>
  <c r="E530" i="4"/>
  <c r="J530" i="4" s="1"/>
  <c r="I530" i="4" s="1"/>
  <c r="E321" i="4"/>
  <c r="J321" i="4" s="1"/>
  <c r="I321" i="4" s="1"/>
  <c r="E384" i="4"/>
  <c r="K384" i="4" s="1"/>
  <c r="I384" i="4" s="1"/>
  <c r="E381" i="4"/>
  <c r="K381" i="4" s="1"/>
  <c r="I381" i="4" s="1"/>
  <c r="E419" i="4"/>
  <c r="K419" i="4" s="1"/>
  <c r="I419" i="4" s="1"/>
  <c r="E331" i="4"/>
  <c r="K331" i="4" s="1"/>
  <c r="I331" i="4" s="1"/>
  <c r="E411" i="4"/>
  <c r="J411" i="4" s="1"/>
  <c r="I411" i="4" s="1"/>
  <c r="E424" i="4"/>
  <c r="J424" i="4" s="1"/>
  <c r="I424" i="4" s="1"/>
  <c r="E327" i="4"/>
  <c r="K327" i="4" s="1"/>
  <c r="I327" i="4" s="1"/>
  <c r="E407" i="4"/>
  <c r="K407" i="4" s="1"/>
  <c r="I407" i="4" s="1"/>
  <c r="E334" i="4"/>
  <c r="J334" i="4" s="1"/>
  <c r="I334" i="4" s="1"/>
  <c r="E332" i="4"/>
  <c r="K332" i="4" s="1"/>
  <c r="I332" i="4" s="1"/>
  <c r="E325" i="4"/>
  <c r="K325" i="4" s="1"/>
  <c r="I325" i="4" s="1"/>
  <c r="E415" i="4"/>
  <c r="J415" i="4" s="1"/>
  <c r="I415" i="4" s="1"/>
  <c r="E422" i="4"/>
  <c r="J422" i="4" s="1"/>
  <c r="I422" i="4" s="1"/>
  <c r="E420" i="4"/>
  <c r="J420" i="4" s="1"/>
  <c r="I420" i="4" s="1"/>
  <c r="E408" i="4"/>
  <c r="J408" i="4" s="1"/>
  <c r="I408" i="4" s="1"/>
  <c r="E315" i="4"/>
  <c r="J315" i="4" s="1"/>
  <c r="I315" i="4" s="1"/>
  <c r="E263" i="4"/>
  <c r="K263" i="4" s="1"/>
  <c r="I263" i="4" s="1"/>
  <c r="E199" i="4"/>
  <c r="J199" i="4" s="1"/>
  <c r="I199" i="4" s="1"/>
  <c r="E186" i="4"/>
  <c r="J186" i="4" s="1"/>
  <c r="I186" i="4" s="1"/>
  <c r="E192" i="4"/>
  <c r="K192" i="4" s="1"/>
  <c r="I192" i="4" s="1"/>
  <c r="E212" i="4"/>
  <c r="J212" i="4" s="1"/>
  <c r="I212" i="4" s="1"/>
  <c r="E291" i="4"/>
  <c r="J291" i="4" s="1"/>
  <c r="I291" i="4" s="1"/>
  <c r="E261" i="4"/>
  <c r="K261" i="4" s="1"/>
  <c r="I261" i="4" s="1"/>
  <c r="E193" i="4"/>
  <c r="J193" i="4" s="1"/>
  <c r="I193" i="4" s="1"/>
  <c r="E211" i="4"/>
  <c r="K211" i="4" s="1"/>
  <c r="I211" i="4" s="1"/>
  <c r="E304" i="4"/>
  <c r="J304" i="4" s="1"/>
  <c r="I304" i="4" s="1"/>
  <c r="E209" i="4"/>
  <c r="K209" i="4" s="1"/>
  <c r="I209" i="4" s="1"/>
  <c r="E287" i="4"/>
  <c r="K287" i="4" s="1"/>
  <c r="I287" i="4" s="1"/>
  <c r="E295" i="4"/>
  <c r="J295" i="4" s="1"/>
  <c r="I295" i="4" s="1"/>
  <c r="E302" i="4"/>
  <c r="J302" i="4" s="1"/>
  <c r="I302" i="4" s="1"/>
  <c r="E300" i="4"/>
  <c r="J300" i="4" s="1"/>
  <c r="I300" i="4" s="1"/>
  <c r="E210" i="4"/>
  <c r="K210" i="4" s="1"/>
  <c r="I210" i="4" s="1"/>
  <c r="E288" i="4"/>
  <c r="J288" i="4" s="1"/>
  <c r="I288" i="4" s="1"/>
  <c r="E178" i="4"/>
  <c r="K178" i="4" s="1"/>
  <c r="I178" i="4" s="1"/>
  <c r="E177" i="4"/>
  <c r="K177" i="4" s="1"/>
  <c r="I177" i="4" s="1"/>
  <c r="E175" i="4"/>
  <c r="K175" i="4" s="1"/>
  <c r="I175" i="4" s="1"/>
  <c r="E176" i="4"/>
  <c r="K176" i="4" s="1"/>
  <c r="I176" i="4" s="1"/>
  <c r="E173" i="4"/>
  <c r="J173" i="4" s="1"/>
  <c r="I173" i="4" s="1"/>
  <c r="E151" i="4"/>
  <c r="J151" i="4" s="1"/>
  <c r="I151" i="4" s="1"/>
  <c r="E144" i="4"/>
  <c r="J144" i="4" s="1"/>
  <c r="I144" i="4" s="1"/>
  <c r="E134" i="4"/>
  <c r="J134" i="4" s="1"/>
  <c r="I134" i="4" s="1"/>
  <c r="I17" i="5"/>
  <c r="O21" i="5"/>
  <c r="F20" i="5"/>
  <c r="E147" i="4" s="1"/>
  <c r="J147" i="4" s="1"/>
  <c r="I147" i="4" s="1"/>
  <c r="E18" i="5"/>
  <c r="K19" i="5" s="1"/>
  <c r="J17" i="5"/>
  <c r="E17" i="5"/>
  <c r="J19" i="5" s="1"/>
  <c r="K16" i="5"/>
  <c r="J16" i="5"/>
  <c r="I16" i="5"/>
  <c r="I19" i="5"/>
  <c r="E181" i="4"/>
  <c r="J181" i="4" s="1"/>
  <c r="I181" i="4" s="1"/>
  <c r="E172" i="4"/>
  <c r="K172" i="4" s="1"/>
  <c r="I172" i="4" s="1"/>
  <c r="E171" i="4"/>
  <c r="K171" i="4" s="1"/>
  <c r="I171" i="4" s="1"/>
  <c r="E169" i="4"/>
  <c r="K169" i="4" s="1"/>
  <c r="I169" i="4" s="1"/>
  <c r="E167" i="4"/>
  <c r="K167" i="4" s="1"/>
  <c r="I167" i="4" s="1"/>
  <c r="E98" i="4"/>
  <c r="J98" i="4" s="1"/>
  <c r="I98" i="4" s="1"/>
  <c r="A106" i="4"/>
  <c r="E581" i="4" l="1"/>
  <c r="K581" i="4" s="1"/>
  <c r="I581" i="4" s="1"/>
  <c r="K580" i="4"/>
  <c r="I580" i="4" s="1"/>
  <c r="E299" i="4"/>
  <c r="K299" i="4" s="1"/>
  <c r="I299" i="4" s="1"/>
  <c r="E442" i="4"/>
  <c r="K442" i="4" s="1"/>
  <c r="I442" i="4" s="1"/>
  <c r="E148" i="4"/>
  <c r="K148" i="4" s="1"/>
  <c r="I148" i="4" s="1"/>
  <c r="E571" i="4"/>
  <c r="K571" i="4" s="1"/>
  <c r="I571" i="4" s="1"/>
  <c r="E436" i="4"/>
  <c r="K436" i="4" s="1"/>
  <c r="I436" i="4" s="1"/>
  <c r="E200" i="4"/>
  <c r="K200" i="4" s="1"/>
  <c r="I200" i="4" s="1"/>
  <c r="E135" i="4"/>
  <c r="K135" i="4" s="1"/>
  <c r="I135" i="4" s="1"/>
  <c r="E322" i="4"/>
  <c r="K322" i="4" s="1"/>
  <c r="I322" i="4" s="1"/>
  <c r="E460" i="4"/>
  <c r="K460" i="4" s="1"/>
  <c r="I460" i="4" s="1"/>
  <c r="E553" i="4"/>
  <c r="K553" i="4" s="1"/>
  <c r="I553" i="4" s="1"/>
  <c r="E215" i="4"/>
  <c r="K215" i="4" s="1"/>
  <c r="I215" i="4" s="1"/>
  <c r="E152" i="4"/>
  <c r="K152" i="4" s="1"/>
  <c r="I152" i="4" s="1"/>
  <c r="E541" i="4"/>
  <c r="K541" i="4" s="1"/>
  <c r="I541" i="4" s="1"/>
  <c r="L52" i="5"/>
  <c r="E444" i="4" s="1"/>
  <c r="K444" i="4" s="1"/>
  <c r="I444" i="4" s="1"/>
  <c r="E554" i="4"/>
  <c r="K554" i="4" s="1"/>
  <c r="I554" i="4" s="1"/>
  <c r="L41" i="5"/>
  <c r="E324" i="4" s="1"/>
  <c r="K324" i="4" s="1"/>
  <c r="I324" i="4" s="1"/>
  <c r="I21" i="5"/>
  <c r="E538" i="4"/>
  <c r="K538" i="4" s="1"/>
  <c r="I538" i="4" s="1"/>
  <c r="E296" i="4"/>
  <c r="K296" i="4" s="1"/>
  <c r="I296" i="4" s="1"/>
  <c r="E437" i="4"/>
  <c r="K437" i="4" s="1"/>
  <c r="I437" i="4" s="1"/>
  <c r="J21" i="5"/>
  <c r="K21" i="5"/>
  <c r="E438" i="4"/>
  <c r="J438" i="4" s="1"/>
  <c r="I438" i="4" s="1"/>
  <c r="L31" i="5"/>
  <c r="E202" i="4" s="1"/>
  <c r="K202" i="4" s="1"/>
  <c r="I202" i="4" s="1"/>
  <c r="E456" i="4"/>
  <c r="K456" i="4" s="1"/>
  <c r="I456" i="4" s="1"/>
  <c r="E458" i="4"/>
  <c r="E455" i="4"/>
  <c r="K455" i="4" s="1"/>
  <c r="I455" i="4" s="1"/>
  <c r="E457" i="4"/>
  <c r="K457" i="4" s="1"/>
  <c r="I457" i="4" s="1"/>
  <c r="E535" i="4"/>
  <c r="J535" i="4" s="1"/>
  <c r="I535" i="4" s="1"/>
  <c r="E534" i="4"/>
  <c r="K534" i="4" s="1"/>
  <c r="I534" i="4" s="1"/>
  <c r="E543" i="4"/>
  <c r="K543" i="4" s="1"/>
  <c r="I543" i="4" s="1"/>
  <c r="E547" i="4"/>
  <c r="K547" i="4" s="1"/>
  <c r="I547" i="4" s="1"/>
  <c r="E448" i="4"/>
  <c r="J448" i="4" s="1"/>
  <c r="I448" i="4" s="1"/>
  <c r="E429" i="4"/>
  <c r="K429" i="4" s="1"/>
  <c r="I429" i="4" s="1"/>
  <c r="E430" i="4"/>
  <c r="J430" i="4" s="1"/>
  <c r="I430" i="4" s="1"/>
  <c r="E545" i="4"/>
  <c r="K545" i="4" s="1"/>
  <c r="I545" i="4" s="1"/>
  <c r="E539" i="4"/>
  <c r="K539" i="4" s="1"/>
  <c r="I539" i="4" s="1"/>
  <c r="E532" i="4"/>
  <c r="K532" i="4" s="1"/>
  <c r="I532" i="4" s="1"/>
  <c r="E531" i="4"/>
  <c r="K531" i="4" s="1"/>
  <c r="I531" i="4" s="1"/>
  <c r="E410" i="4"/>
  <c r="K410" i="4" s="1"/>
  <c r="I410" i="4" s="1"/>
  <c r="E409" i="4"/>
  <c r="K409" i="4" s="1"/>
  <c r="I409" i="4" s="1"/>
  <c r="E421" i="4"/>
  <c r="K421" i="4" s="1"/>
  <c r="I421" i="4" s="1"/>
  <c r="E340" i="4"/>
  <c r="K340" i="4" s="1"/>
  <c r="I340" i="4" s="1"/>
  <c r="E337" i="4"/>
  <c r="K337" i="4" s="1"/>
  <c r="I337" i="4" s="1"/>
  <c r="E335" i="4"/>
  <c r="K335" i="4" s="1"/>
  <c r="I335" i="4" s="1"/>
  <c r="E336" i="4"/>
  <c r="K336" i="4" s="1"/>
  <c r="E338" i="4"/>
  <c r="K338" i="4" s="1"/>
  <c r="I338" i="4" s="1"/>
  <c r="E417" i="4"/>
  <c r="K417" i="4" s="1"/>
  <c r="I417" i="4" s="1"/>
  <c r="E425" i="4"/>
  <c r="K425" i="4" s="1"/>
  <c r="I425" i="4" s="1"/>
  <c r="E413" i="4"/>
  <c r="J413" i="4" s="1"/>
  <c r="I413" i="4" s="1"/>
  <c r="E412" i="4"/>
  <c r="K412" i="4" s="1"/>
  <c r="I412" i="4" s="1"/>
  <c r="E423" i="4"/>
  <c r="K423" i="4" s="1"/>
  <c r="I423" i="4" s="1"/>
  <c r="E310" i="4"/>
  <c r="J310" i="4" s="1"/>
  <c r="I310" i="4" s="1"/>
  <c r="E328" i="4"/>
  <c r="J328" i="4" s="1"/>
  <c r="I328" i="4" s="1"/>
  <c r="E309" i="4"/>
  <c r="K309" i="4" s="1"/>
  <c r="I309" i="4" s="1"/>
  <c r="E318" i="4"/>
  <c r="J318" i="4" s="1"/>
  <c r="I318" i="4" s="1"/>
  <c r="E316" i="4"/>
  <c r="K316" i="4" s="1"/>
  <c r="I316" i="4" s="1"/>
  <c r="E317" i="4"/>
  <c r="K317" i="4" s="1"/>
  <c r="I317" i="4" s="1"/>
  <c r="E213" i="4"/>
  <c r="K213" i="4" s="1"/>
  <c r="I213" i="4" s="1"/>
  <c r="E216" i="4"/>
  <c r="K216" i="4" s="1"/>
  <c r="I216" i="4" s="1"/>
  <c r="E218" i="4"/>
  <c r="K218" i="4" s="1"/>
  <c r="I218" i="4" s="1"/>
  <c r="E214" i="4"/>
  <c r="K214" i="4" s="1"/>
  <c r="I214" i="4" s="1"/>
  <c r="E303" i="4"/>
  <c r="K303" i="4" s="1"/>
  <c r="I303" i="4" s="1"/>
  <c r="E305" i="4"/>
  <c r="K305" i="4" s="1"/>
  <c r="I305" i="4" s="1"/>
  <c r="E187" i="4"/>
  <c r="K187" i="4" s="1"/>
  <c r="I187" i="4" s="1"/>
  <c r="E188" i="4"/>
  <c r="J188" i="4" s="1"/>
  <c r="I188" i="4" s="1"/>
  <c r="E206" i="4"/>
  <c r="J206" i="4" s="1"/>
  <c r="I206" i="4" s="1"/>
  <c r="E194" i="4"/>
  <c r="K194" i="4" s="1"/>
  <c r="I194" i="4" s="1"/>
  <c r="E196" i="4"/>
  <c r="J196" i="4" s="1"/>
  <c r="I196" i="4" s="1"/>
  <c r="E195" i="4"/>
  <c r="K195" i="4" s="1"/>
  <c r="I195" i="4" s="1"/>
  <c r="E293" i="4"/>
  <c r="J293" i="4" s="1"/>
  <c r="I293" i="4" s="1"/>
  <c r="E292" i="4"/>
  <c r="K292" i="4" s="1"/>
  <c r="I292" i="4" s="1"/>
  <c r="E290" i="4"/>
  <c r="K290" i="4" s="1"/>
  <c r="I290" i="4" s="1"/>
  <c r="E289" i="4"/>
  <c r="K289" i="4" s="1"/>
  <c r="I289" i="4" s="1"/>
  <c r="E297" i="4"/>
  <c r="K297" i="4" s="1"/>
  <c r="I297" i="4" s="1"/>
  <c r="E301" i="4"/>
  <c r="K301" i="4" s="1"/>
  <c r="I301" i="4" s="1"/>
  <c r="E162" i="4"/>
  <c r="J162" i="4" s="1"/>
  <c r="I162" i="4" s="1"/>
  <c r="E146" i="4"/>
  <c r="K146" i="4" s="1"/>
  <c r="I146" i="4" s="1"/>
  <c r="E142" i="4"/>
  <c r="J142" i="4" s="1"/>
  <c r="I142" i="4" s="1"/>
  <c r="E153" i="4"/>
  <c r="K153" i="4" s="1"/>
  <c r="I153" i="4" s="1"/>
  <c r="E155" i="4"/>
  <c r="J155" i="4" s="1"/>
  <c r="I155" i="4" s="1"/>
  <c r="E129" i="4"/>
  <c r="J129" i="4" s="1"/>
  <c r="I129" i="4" s="1"/>
  <c r="E174" i="4"/>
  <c r="K174" i="4" s="1"/>
  <c r="I174" i="4" s="1"/>
  <c r="E180" i="4"/>
  <c r="K180" i="4" s="1"/>
  <c r="I180" i="4" s="1"/>
  <c r="E136" i="4"/>
  <c r="J136" i="4" s="1"/>
  <c r="I136" i="4" s="1"/>
  <c r="E154" i="4"/>
  <c r="K154" i="4" s="1"/>
  <c r="I154" i="4" s="1"/>
  <c r="I336" i="4" l="1"/>
  <c r="L21" i="5"/>
  <c r="E459" i="4"/>
  <c r="K459" i="4" s="1"/>
  <c r="I459" i="4" s="1"/>
  <c r="K458" i="4"/>
  <c r="I458" i="4" s="1"/>
  <c r="E440" i="4"/>
  <c r="K440" i="4" s="1"/>
  <c r="I440" i="4" s="1"/>
  <c r="E159" i="4"/>
  <c r="K159" i="4" s="1"/>
  <c r="I159" i="4" s="1"/>
  <c r="E145" i="4"/>
  <c r="K145" i="4" s="1"/>
  <c r="I145" i="4" s="1"/>
  <c r="E439" i="4"/>
  <c r="K439" i="4" s="1"/>
  <c r="I439" i="4" s="1"/>
  <c r="E217" i="4"/>
  <c r="K217" i="4" s="1"/>
  <c r="I217" i="4" s="1"/>
  <c r="E432" i="4"/>
  <c r="K432" i="4" s="1"/>
  <c r="I432" i="4" s="1"/>
  <c r="E431" i="4"/>
  <c r="K431" i="4" s="1"/>
  <c r="I431" i="4" s="1"/>
  <c r="E536" i="4"/>
  <c r="K536" i="4" s="1"/>
  <c r="I536" i="4" s="1"/>
  <c r="E449" i="4"/>
  <c r="K449" i="4" s="1"/>
  <c r="I449" i="4" s="1"/>
  <c r="E329" i="4"/>
  <c r="K329" i="4" s="1"/>
  <c r="I329" i="4" s="1"/>
  <c r="E414" i="4"/>
  <c r="K414" i="4" s="1"/>
  <c r="I414" i="4" s="1"/>
  <c r="E311" i="4"/>
  <c r="K311" i="4" s="1"/>
  <c r="I311" i="4" s="1"/>
  <c r="E312" i="4"/>
  <c r="K312" i="4" s="1"/>
  <c r="I312" i="4" s="1"/>
  <c r="E339" i="4"/>
  <c r="K339" i="4" s="1"/>
  <c r="I339" i="4" s="1"/>
  <c r="E320" i="4"/>
  <c r="K320" i="4" s="1"/>
  <c r="I320" i="4" s="1"/>
  <c r="E319" i="4"/>
  <c r="K319" i="4" s="1"/>
  <c r="I319" i="4" s="1"/>
  <c r="E189" i="4"/>
  <c r="K189" i="4" s="1"/>
  <c r="I189" i="4" s="1"/>
  <c r="E190" i="4"/>
  <c r="K190" i="4" s="1"/>
  <c r="I190" i="4" s="1"/>
  <c r="E198" i="4"/>
  <c r="K198" i="4" s="1"/>
  <c r="I198" i="4" s="1"/>
  <c r="E197" i="4"/>
  <c r="K197" i="4" s="1"/>
  <c r="I197" i="4" s="1"/>
  <c r="E294" i="4"/>
  <c r="K294" i="4" s="1"/>
  <c r="I294" i="4" s="1"/>
  <c r="E207" i="4"/>
  <c r="K207" i="4" s="1"/>
  <c r="I207" i="4" s="1"/>
  <c r="E143" i="4"/>
  <c r="K143" i="4" s="1"/>
  <c r="I143" i="4" s="1"/>
  <c r="E158" i="4"/>
  <c r="K158" i="4" s="1"/>
  <c r="I158" i="4" s="1"/>
  <c r="E164" i="4"/>
  <c r="J164" i="4" s="1"/>
  <c r="I164" i="4" s="1"/>
  <c r="E163" i="4"/>
  <c r="K163" i="4" s="1"/>
  <c r="I163" i="4" s="1"/>
  <c r="E156" i="4"/>
  <c r="K156" i="4" s="1"/>
  <c r="I156" i="4" s="1"/>
  <c r="E161" i="4"/>
  <c r="K161" i="4" s="1"/>
  <c r="I161" i="4" s="1"/>
  <c r="E157" i="4"/>
  <c r="K157" i="4" s="1"/>
  <c r="I157" i="4" s="1"/>
  <c r="E130" i="4"/>
  <c r="K130" i="4" s="1"/>
  <c r="I130" i="4" s="1"/>
  <c r="E149" i="4"/>
  <c r="J149" i="4" s="1"/>
  <c r="I149" i="4" s="1"/>
  <c r="E131" i="4"/>
  <c r="J131" i="4" s="1"/>
  <c r="I131" i="4" s="1"/>
  <c r="E137" i="4"/>
  <c r="K137" i="4" s="1"/>
  <c r="I137" i="4" s="1"/>
  <c r="E139" i="4"/>
  <c r="J139" i="4" s="1"/>
  <c r="I139" i="4" s="1"/>
  <c r="E138" i="4"/>
  <c r="K138" i="4" s="1"/>
  <c r="I138" i="4" s="1"/>
  <c r="E160" i="4" l="1"/>
  <c r="K160" i="4" s="1"/>
  <c r="I160" i="4" s="1"/>
  <c r="E165" i="4"/>
  <c r="K165" i="4" s="1"/>
  <c r="I165" i="4" s="1"/>
  <c r="E150" i="4"/>
  <c r="K150" i="4" s="1"/>
  <c r="I150" i="4" s="1"/>
  <c r="E140" i="4"/>
  <c r="K140" i="4" s="1"/>
  <c r="I140" i="4" s="1"/>
  <c r="E141" i="4"/>
  <c r="K141" i="4" s="1"/>
  <c r="I141" i="4" s="1"/>
  <c r="E132" i="4"/>
  <c r="K132" i="4" s="1"/>
  <c r="I132" i="4" s="1"/>
  <c r="E133" i="4"/>
  <c r="K133" i="4" s="1"/>
  <c r="I133" i="4" s="1"/>
  <c r="E70" i="4" l="1"/>
  <c r="J70" i="4" s="1"/>
  <c r="I70" i="4" s="1"/>
  <c r="E90" i="4"/>
  <c r="J90" i="4" s="1"/>
  <c r="I90" i="4" s="1"/>
  <c r="E81" i="4"/>
  <c r="K81" i="4" s="1"/>
  <c r="I81" i="4" s="1"/>
  <c r="E73" i="4"/>
  <c r="J73" i="4" s="1"/>
  <c r="I73" i="4" s="1"/>
  <c r="E88" i="4"/>
  <c r="K88" i="4" s="1"/>
  <c r="I88" i="4" s="1"/>
  <c r="E87" i="4"/>
  <c r="K87" i="4" s="1"/>
  <c r="I87" i="4" s="1"/>
  <c r="E86" i="4"/>
  <c r="K86" i="4" s="1"/>
  <c r="I86" i="4" s="1"/>
  <c r="E85" i="4"/>
  <c r="K85" i="4" s="1"/>
  <c r="I85" i="4" s="1"/>
  <c r="E84" i="4"/>
  <c r="K84" i="4" s="1"/>
  <c r="I84" i="4" s="1"/>
  <c r="E83" i="4"/>
  <c r="K83" i="4" s="1"/>
  <c r="I83" i="4" s="1"/>
  <c r="E82" i="4"/>
  <c r="K82" i="4" s="1"/>
  <c r="I82" i="4" s="1"/>
  <c r="E80" i="4"/>
  <c r="K80" i="4" s="1"/>
  <c r="I80" i="4" s="1"/>
  <c r="E79" i="4"/>
  <c r="K79" i="4" s="1"/>
  <c r="I79" i="4" s="1"/>
  <c r="E78" i="4"/>
  <c r="K78" i="4" s="1"/>
  <c r="I78" i="4" s="1"/>
  <c r="E77" i="4"/>
  <c r="K77" i="4" s="1"/>
  <c r="I77" i="4" s="1"/>
  <c r="E76" i="4"/>
  <c r="K76" i="4" s="1"/>
  <c r="I76" i="4" s="1"/>
  <c r="E75" i="4"/>
  <c r="K75" i="4" s="1"/>
  <c r="I75" i="4" s="1"/>
  <c r="E72" i="4"/>
  <c r="K72" i="4" s="1"/>
  <c r="I72" i="4" s="1"/>
  <c r="E71" i="4"/>
  <c r="K71" i="4" s="1"/>
  <c r="I71" i="4" s="1"/>
  <c r="E69" i="4"/>
  <c r="K69" i="4" s="1"/>
  <c r="I69" i="4" s="1"/>
  <c r="E67" i="4"/>
  <c r="K67" i="4" s="1"/>
  <c r="I67" i="4" s="1"/>
  <c r="E66" i="4"/>
  <c r="K66" i="4" s="1"/>
  <c r="I66" i="4" s="1"/>
  <c r="E65" i="4"/>
  <c r="K65" i="4" s="1"/>
  <c r="I65" i="4" s="1"/>
  <c r="E64" i="4"/>
  <c r="K64" i="4" s="1"/>
  <c r="I64" i="4" s="1"/>
  <c r="E63" i="4"/>
  <c r="K63" i="4" s="1"/>
  <c r="I63" i="4" s="1"/>
  <c r="E62" i="4"/>
  <c r="K62" i="4" s="1"/>
  <c r="I62" i="4" s="1"/>
  <c r="E60" i="4"/>
  <c r="K60" i="4" s="1"/>
  <c r="I60" i="4" s="1"/>
  <c r="E59" i="4"/>
  <c r="K59" i="4" s="1"/>
  <c r="I59" i="4" s="1"/>
  <c r="E58" i="4"/>
  <c r="K58" i="4" s="1"/>
  <c r="I58" i="4" s="1"/>
  <c r="E68" i="4"/>
  <c r="K68" i="4" s="1"/>
  <c r="I68" i="4" s="1"/>
  <c r="E61" i="4"/>
  <c r="K61" i="4" s="1"/>
  <c r="I61" i="4" s="1"/>
  <c r="D122" i="4"/>
  <c r="E55" i="4"/>
  <c r="K55" i="4" s="1"/>
  <c r="I55" i="4" s="1"/>
  <c r="E47" i="4"/>
  <c r="J47" i="4" s="1"/>
  <c r="I47" i="4" s="1"/>
  <c r="J5" i="5"/>
  <c r="I5" i="5"/>
  <c r="I4" i="5"/>
  <c r="J4" i="5"/>
  <c r="K4" i="5"/>
  <c r="F8" i="5"/>
  <c r="E28" i="4" s="1"/>
  <c r="J28" i="4" s="1"/>
  <c r="I28" i="4" s="1"/>
  <c r="I7" i="5"/>
  <c r="E107" i="4"/>
  <c r="J107" i="4" s="1"/>
  <c r="I107" i="4" s="1"/>
  <c r="J7" i="5"/>
  <c r="E91" i="4" l="1"/>
  <c r="K91" i="4" s="1"/>
  <c r="I91" i="4" s="1"/>
  <c r="K7" i="5"/>
  <c r="K9" i="5" s="1"/>
  <c r="E117" i="4" s="1"/>
  <c r="K117" i="4" s="1"/>
  <c r="I117" i="4" s="1"/>
  <c r="E32" i="4"/>
  <c r="J32" i="4" s="1"/>
  <c r="I32" i="4" s="1"/>
  <c r="E92" i="4"/>
  <c r="K92" i="4" s="1"/>
  <c r="I92" i="4" s="1"/>
  <c r="E116" i="4"/>
  <c r="J116" i="4" s="1"/>
  <c r="I116" i="4" s="1"/>
  <c r="E74" i="4"/>
  <c r="K74" i="4" s="1"/>
  <c r="I74" i="4" s="1"/>
  <c r="E89" i="4"/>
  <c r="K89" i="4" s="1"/>
  <c r="I89" i="4" s="1"/>
  <c r="E10" i="4"/>
  <c r="J10" i="4" s="1"/>
  <c r="E17" i="4"/>
  <c r="J17" i="4" s="1"/>
  <c r="I17" i="4" s="1"/>
  <c r="E15" i="4"/>
  <c r="J15" i="4" s="1"/>
  <c r="I15" i="4" s="1"/>
  <c r="E25" i="4"/>
  <c r="J25" i="4" s="1"/>
  <c r="I25" i="4" s="1"/>
  <c r="E123" i="4"/>
  <c r="J123" i="4" s="1"/>
  <c r="I123" i="4" s="1"/>
  <c r="E125" i="4"/>
  <c r="J125" i="4" s="1"/>
  <c r="I125" i="4" s="1"/>
  <c r="E121" i="4"/>
  <c r="J121" i="4" s="1"/>
  <c r="I121" i="4" s="1"/>
  <c r="E112" i="4"/>
  <c r="J112" i="4" s="1"/>
  <c r="I112" i="4" s="1"/>
  <c r="E109" i="4"/>
  <c r="J109" i="4" s="1"/>
  <c r="I109" i="4" s="1"/>
  <c r="E119" i="4"/>
  <c r="J119" i="4" s="1"/>
  <c r="I119" i="4" s="1"/>
  <c r="E108" i="4"/>
  <c r="K108" i="4" s="1"/>
  <c r="I108" i="4" s="1"/>
  <c r="I9" i="5"/>
  <c r="J9" i="5"/>
  <c r="I10" i="4" l="1"/>
  <c r="A10" i="4"/>
  <c r="E124" i="4"/>
  <c r="K124" i="4" s="1"/>
  <c r="I124" i="4" s="1"/>
  <c r="E122" i="4"/>
  <c r="K122" i="4" s="1"/>
  <c r="I122" i="4" s="1"/>
  <c r="E118" i="4"/>
  <c r="K118" i="4" s="1"/>
  <c r="I118" i="4" s="1"/>
  <c r="E20" i="4"/>
  <c r="J20" i="4" s="1"/>
  <c r="I20" i="4" s="1"/>
  <c r="E19" i="4"/>
  <c r="K19" i="4" s="1"/>
  <c r="I19" i="4" s="1"/>
  <c r="E18" i="4"/>
  <c r="K18" i="4" s="1"/>
  <c r="I18" i="4" s="1"/>
  <c r="E126" i="4"/>
  <c r="K126" i="4" s="1"/>
  <c r="I126" i="4" s="1"/>
  <c r="E114" i="4"/>
  <c r="J114" i="4" s="1"/>
  <c r="I114" i="4" s="1"/>
  <c r="E113" i="4"/>
  <c r="K113" i="4" s="1"/>
  <c r="I113" i="4" s="1"/>
  <c r="E120" i="4"/>
  <c r="K120" i="4" s="1"/>
  <c r="I120" i="4" s="1"/>
  <c r="E111" i="4"/>
  <c r="K111" i="4" s="1"/>
  <c r="I111" i="4" s="1"/>
  <c r="E110" i="4"/>
  <c r="K110" i="4" s="1"/>
  <c r="I110" i="4" s="1"/>
  <c r="L9" i="5"/>
  <c r="E26" i="4" s="1"/>
  <c r="K26" i="4" s="1"/>
  <c r="I26" i="4" s="1"/>
  <c r="E21" i="4" l="1"/>
  <c r="K21" i="4" s="1"/>
  <c r="I21" i="4" s="1"/>
  <c r="E22" i="4"/>
  <c r="K22" i="4" s="1"/>
  <c r="I22" i="4" s="1"/>
  <c r="E115" i="4"/>
  <c r="K115" i="4" s="1"/>
  <c r="I115" i="4" s="1"/>
  <c r="E54" i="4" l="1"/>
  <c r="K54" i="4" s="1"/>
  <c r="I54" i="4" s="1"/>
  <c r="E56" i="4"/>
  <c r="K56" i="4" s="1"/>
  <c r="I56" i="4" s="1"/>
  <c r="E53" i="4"/>
  <c r="K53" i="4" s="1"/>
  <c r="I53" i="4" s="1"/>
  <c r="E51" i="4"/>
  <c r="K51" i="4" s="1"/>
  <c r="I51" i="4" s="1"/>
  <c r="E50" i="4"/>
  <c r="K50" i="4" s="1"/>
  <c r="I50" i="4" s="1"/>
  <c r="E16" i="4" l="1"/>
  <c r="K16" i="4" s="1"/>
  <c r="I16" i="4" s="1"/>
  <c r="E48" i="4" l="1"/>
  <c r="K48" i="4" s="1"/>
  <c r="I48" i="4" s="1"/>
  <c r="E46" i="4"/>
  <c r="K46" i="4" s="1"/>
  <c r="I46" i="4" s="1"/>
  <c r="E44" i="4"/>
  <c r="K44" i="4" s="1"/>
  <c r="I44" i="4" s="1"/>
  <c r="F11" i="4"/>
  <c r="E36" i="4" l="1"/>
  <c r="J36" i="4" s="1"/>
  <c r="I36" i="4" s="1"/>
  <c r="E29" i="4"/>
  <c r="K29" i="4" s="1"/>
  <c r="I29" i="4" s="1"/>
  <c r="E12" i="4"/>
  <c r="J12" i="4" s="1"/>
  <c r="E11" i="4"/>
  <c r="E30" i="4"/>
  <c r="J30" i="4" s="1"/>
  <c r="I30" i="4" s="1"/>
  <c r="I12" i="4" l="1"/>
  <c r="E39" i="4"/>
  <c r="K39" i="4" s="1"/>
  <c r="I39" i="4" s="1"/>
  <c r="E31" i="4"/>
  <c r="K31" i="4" s="1"/>
  <c r="I31" i="4" s="1"/>
  <c r="K11" i="4"/>
  <c r="A11" i="4"/>
  <c r="A12" i="4"/>
  <c r="E40" i="4"/>
  <c r="K40" i="4" s="1"/>
  <c r="I40" i="4" s="1"/>
  <c r="E37" i="4"/>
  <c r="K37" i="4" s="1"/>
  <c r="I37" i="4" s="1"/>
  <c r="E38" i="4"/>
  <c r="K38" i="4" s="1"/>
  <c r="I38" i="4" s="1"/>
  <c r="E42" i="4"/>
  <c r="K42" i="4" s="1"/>
  <c r="I42" i="4" s="1"/>
  <c r="E23" i="4"/>
  <c r="J23" i="4" s="1"/>
  <c r="I23" i="4" s="1"/>
  <c r="E13" i="4"/>
  <c r="K13" i="4" s="1"/>
  <c r="I13" i="4" s="1"/>
  <c r="E14" i="4"/>
  <c r="K14" i="4" s="1"/>
  <c r="I14" i="4" s="1"/>
  <c r="I11" i="4" l="1"/>
  <c r="J664" i="4"/>
  <c r="A17" i="4"/>
  <c r="A21" i="4"/>
  <c r="A20" i="4"/>
  <c r="A18" i="4"/>
  <c r="A16" i="4"/>
  <c r="A15" i="4"/>
  <c r="A22" i="4"/>
  <c r="E24" i="4"/>
  <c r="K24" i="4" s="1"/>
  <c r="I24" i="4" s="1"/>
  <c r="A23" i="4"/>
  <c r="A14" i="4"/>
  <c r="E41" i="4"/>
  <c r="K41" i="4" s="1"/>
  <c r="I41" i="4" s="1"/>
  <c r="A13" i="4"/>
  <c r="A19" i="4"/>
  <c r="E27" i="4"/>
  <c r="K27" i="4" s="1"/>
  <c r="I27" i="4" s="1"/>
  <c r="E34" i="4"/>
  <c r="K34" i="4" s="1"/>
  <c r="I34" i="4" s="1"/>
  <c r="E33" i="4"/>
  <c r="K33" i="4" s="1"/>
  <c r="I33" i="4" s="1"/>
  <c r="E35" i="4"/>
  <c r="K35" i="4" s="1"/>
  <c r="I35" i="4" s="1"/>
  <c r="K664" i="4" l="1"/>
  <c r="K668" i="4" s="1"/>
  <c r="J668" i="4"/>
  <c r="A637" i="4"/>
  <c r="A631" i="4"/>
  <c r="A624" i="4"/>
  <c r="A623" i="4"/>
  <c r="A618" i="4"/>
  <c r="A617" i="4"/>
  <c r="A573" i="4"/>
  <c r="A565" i="4"/>
  <c r="A636" i="4"/>
  <c r="A614" i="4"/>
  <c r="A569" i="4"/>
  <c r="A582" i="4"/>
  <c r="A602" i="4"/>
  <c r="A626" i="4"/>
  <c r="A608" i="4"/>
  <c r="A605" i="4"/>
  <c r="A655" i="4"/>
  <c r="A598" i="4"/>
  <c r="A557" i="4"/>
  <c r="A625" i="4"/>
  <c r="A563" i="4"/>
  <c r="A580" i="4"/>
  <c r="A555" i="4"/>
  <c r="A653" i="4"/>
  <c r="A554" i="4"/>
  <c r="A611" i="4"/>
  <c r="A661" i="4"/>
  <c r="A600" i="4"/>
  <c r="A613" i="4"/>
  <c r="A599" i="4"/>
  <c r="A606" i="4"/>
  <c r="A566" i="4"/>
  <c r="A552" i="4"/>
  <c r="A634" i="4"/>
  <c r="A628" i="4"/>
  <c r="A588" i="4"/>
  <c r="A553" i="4"/>
  <c r="A640" i="4"/>
  <c r="A632" i="4"/>
  <c r="A610" i="4"/>
  <c r="A651" i="4"/>
  <c r="A591" i="4"/>
  <c r="A576" i="4"/>
  <c r="A551" i="4"/>
  <c r="A635" i="4"/>
  <c r="A560" i="4"/>
  <c r="A647" i="4"/>
  <c r="A595" i="4"/>
  <c r="A644" i="4"/>
  <c r="A570" i="4"/>
  <c r="A596" i="4"/>
  <c r="A592" i="4"/>
  <c r="A612" i="4"/>
  <c r="A593" i="4"/>
  <c r="A620" i="4"/>
  <c r="A567" i="4"/>
  <c r="A558" i="4"/>
  <c r="A562" i="4"/>
  <c r="A571" i="4"/>
  <c r="A585" i="4"/>
  <c r="A654" i="4"/>
  <c r="A652" i="4"/>
  <c r="A568" i="4"/>
  <c r="A594" i="4"/>
  <c r="A607" i="4"/>
  <c r="A619" i="4"/>
  <c r="A579" i="4"/>
  <c r="A630" i="4"/>
  <c r="A656" i="4"/>
  <c r="A621" i="4"/>
  <c r="A584" i="4"/>
  <c r="A609" i="4"/>
  <c r="A649" i="4"/>
  <c r="A590" i="4"/>
  <c r="A663" i="4"/>
  <c r="A639" i="4"/>
  <c r="A657" i="4"/>
  <c r="A574" i="4"/>
  <c r="A467" i="4"/>
  <c r="A616" i="4"/>
  <c r="A645" i="4"/>
  <c r="A577" i="4"/>
  <c r="A633" i="4"/>
  <c r="A559" i="4"/>
  <c r="A586" i="4"/>
  <c r="A642" i="4"/>
  <c r="A646" i="4"/>
  <c r="A575" i="4"/>
  <c r="A564" i="4"/>
  <c r="A650" i="4"/>
  <c r="A601" i="4"/>
  <c r="A603" i="4"/>
  <c r="A578" i="4"/>
  <c r="A658" i="4"/>
  <c r="A597" i="4"/>
  <c r="A587" i="4"/>
  <c r="A622" i="4"/>
  <c r="A641" i="4"/>
  <c r="A589" i="4"/>
  <c r="A662" i="4"/>
  <c r="A659" i="4"/>
  <c r="A638" i="4"/>
  <c r="A572" i="4"/>
  <c r="A627" i="4"/>
  <c r="A581" i="4"/>
  <c r="A604" i="4"/>
  <c r="A556" i="4"/>
  <c r="A615" i="4"/>
  <c r="A583" i="4"/>
  <c r="A629" i="4"/>
  <c r="A561" i="4"/>
  <c r="A660" i="4"/>
  <c r="A648" i="4"/>
  <c r="A550" i="4"/>
  <c r="A468" i="4"/>
  <c r="A469" i="4"/>
  <c r="A517" i="4"/>
  <c r="A519" i="4"/>
  <c r="A521" i="4"/>
  <c r="A522" i="4"/>
  <c r="A523" i="4"/>
  <c r="A526" i="4"/>
  <c r="A520" i="4"/>
  <c r="A518" i="4"/>
  <c r="A524" i="4"/>
  <c r="A516" i="4"/>
  <c r="A525" i="4"/>
  <c r="A105" i="4"/>
  <c r="A508" i="4"/>
  <c r="A268" i="4"/>
  <c r="A104" i="4"/>
  <c r="A103" i="4"/>
  <c r="A509" i="4"/>
  <c r="A513" i="4"/>
  <c r="A433" i="4"/>
  <c r="A495" i="4"/>
  <c r="A504" i="4"/>
  <c r="A431" i="4"/>
  <c r="A447" i="4"/>
  <c r="A429" i="4"/>
  <c r="A474" i="4"/>
  <c r="A534" i="4"/>
  <c r="A443" i="4"/>
  <c r="A445" i="4"/>
  <c r="A464" i="4"/>
  <c r="A500" i="4"/>
  <c r="A470" i="4"/>
  <c r="A459" i="4"/>
  <c r="A502" i="4"/>
  <c r="A545" i="4"/>
  <c r="A542" i="4"/>
  <c r="A543" i="4"/>
  <c r="A512" i="4"/>
  <c r="A529" i="4"/>
  <c r="A453" i="4"/>
  <c r="A449" i="4"/>
  <c r="A490" i="4"/>
  <c r="A461" i="4"/>
  <c r="A462" i="4"/>
  <c r="A506" i="4"/>
  <c r="A505" i="4"/>
  <c r="A510" i="4"/>
  <c r="A493" i="4"/>
  <c r="A514" i="4"/>
  <c r="A497" i="4"/>
  <c r="A487" i="4"/>
  <c r="A471" i="4"/>
  <c r="A441" i="4"/>
  <c r="A538" i="4"/>
  <c r="A503" i="4"/>
  <c r="A439" i="4"/>
  <c r="A454" i="4"/>
  <c r="A540" i="4"/>
  <c r="A511" i="4"/>
  <c r="A544" i="4"/>
  <c r="A499" i="4"/>
  <c r="A457" i="4"/>
  <c r="A489" i="4"/>
  <c r="A482" i="4"/>
  <c r="A434" i="4"/>
  <c r="A478" i="4"/>
  <c r="A547" i="4"/>
  <c r="A484" i="4"/>
  <c r="A473" i="4"/>
  <c r="A450" i="4"/>
  <c r="A496" i="4"/>
  <c r="A455" i="4"/>
  <c r="A481" i="4"/>
  <c r="A485" i="4"/>
  <c r="A448" i="4"/>
  <c r="A451" i="4"/>
  <c r="A437" i="4"/>
  <c r="A460" i="4"/>
  <c r="A476" i="4"/>
  <c r="A541" i="4"/>
  <c r="A539" i="4"/>
  <c r="A536" i="4"/>
  <c r="A472" i="4"/>
  <c r="A430" i="4"/>
  <c r="A532" i="4"/>
  <c r="A491" i="4"/>
  <c r="A507" i="4"/>
  <c r="A436" i="4"/>
  <c r="A501" i="4"/>
  <c r="A528" i="4"/>
  <c r="A435" i="4"/>
  <c r="A466" i="4"/>
  <c r="A530" i="4"/>
  <c r="A515" i="4"/>
  <c r="A535" i="4"/>
  <c r="A440" i="4"/>
  <c r="A477" i="4"/>
  <c r="A463" i="4"/>
  <c r="A494" i="4"/>
  <c r="A479" i="4"/>
  <c r="A458" i="4"/>
  <c r="A483" i="4"/>
  <c r="A546" i="4"/>
  <c r="A486" i="4"/>
  <c r="A488" i="4"/>
  <c r="A465" i="4"/>
  <c r="A442" i="4"/>
  <c r="A531" i="4"/>
  <c r="A432" i="4"/>
  <c r="A438" i="4"/>
  <c r="A444" i="4"/>
  <c r="A480" i="4"/>
  <c r="A498" i="4"/>
  <c r="A537" i="4"/>
  <c r="A446" i="4"/>
  <c r="A452" i="4"/>
  <c r="A475" i="4"/>
  <c r="A533" i="4"/>
  <c r="A492" i="4"/>
  <c r="A456" i="4"/>
  <c r="A428" i="4"/>
  <c r="A337" i="4"/>
  <c r="A388" i="4"/>
  <c r="A411" i="4"/>
  <c r="A333" i="4"/>
  <c r="A315" i="4"/>
  <c r="A371" i="4"/>
  <c r="A284" i="4"/>
  <c r="A361" i="4"/>
  <c r="A367" i="4"/>
  <c r="A425" i="4"/>
  <c r="A279" i="4"/>
  <c r="A392" i="4"/>
  <c r="A380" i="4"/>
  <c r="A330" i="4"/>
  <c r="A319" i="4"/>
  <c r="A311" i="4"/>
  <c r="A416" i="4"/>
  <c r="A341" i="4"/>
  <c r="A390" i="4"/>
  <c r="A379" i="4"/>
  <c r="A357" i="4"/>
  <c r="A420" i="4"/>
  <c r="A346" i="4"/>
  <c r="A350" i="4"/>
  <c r="A323" i="4"/>
  <c r="A395" i="4"/>
  <c r="A381" i="4"/>
  <c r="A327" i="4"/>
  <c r="A364" i="4"/>
  <c r="A418" i="4"/>
  <c r="A316" i="4"/>
  <c r="A338" i="4"/>
  <c r="A329" i="4"/>
  <c r="A376" i="4"/>
  <c r="A403" i="4"/>
  <c r="A314" i="4"/>
  <c r="A412" i="4"/>
  <c r="A353" i="4"/>
  <c r="A402" i="4"/>
  <c r="A321" i="4"/>
  <c r="A339" i="4"/>
  <c r="A317" i="4"/>
  <c r="A331" i="4"/>
  <c r="A318" i="4"/>
  <c r="A408" i="4"/>
  <c r="A422" i="4"/>
  <c r="A313" i="4"/>
  <c r="A423" i="4"/>
  <c r="A410" i="4"/>
  <c r="A394" i="4"/>
  <c r="A351" i="4"/>
  <c r="A396" i="4"/>
  <c r="A383" i="4"/>
  <c r="A415" i="4"/>
  <c r="A393" i="4"/>
  <c r="A372" i="4"/>
  <c r="A328" i="4"/>
  <c r="A424" i="4"/>
  <c r="A312" i="4"/>
  <c r="A413" i="4"/>
  <c r="A344" i="4"/>
  <c r="A386" i="4"/>
  <c r="A419" i="4"/>
  <c r="A400" i="4"/>
  <c r="A399" i="4"/>
  <c r="A359" i="4"/>
  <c r="A391" i="4"/>
  <c r="A348" i="4"/>
  <c r="A309" i="4"/>
  <c r="A340" i="4"/>
  <c r="A335" i="4"/>
  <c r="A308" i="4"/>
  <c r="A389" i="4"/>
  <c r="A365" i="4"/>
  <c r="A343" i="4"/>
  <c r="A342" i="4"/>
  <c r="A398" i="4"/>
  <c r="A407" i="4"/>
  <c r="A332" i="4"/>
  <c r="A397" i="4"/>
  <c r="A326" i="4"/>
  <c r="A356" i="4"/>
  <c r="A352" i="4"/>
  <c r="A384" i="4"/>
  <c r="A370" i="4"/>
  <c r="A349" i="4"/>
  <c r="A345" i="4"/>
  <c r="A409" i="4"/>
  <c r="A355" i="4"/>
  <c r="A363" i="4"/>
  <c r="A347" i="4"/>
  <c r="A401" i="4"/>
  <c r="A362" i="4"/>
  <c r="A378" i="4"/>
  <c r="A414" i="4"/>
  <c r="A406" i="4"/>
  <c r="A91" i="4"/>
  <c r="A374" i="4"/>
  <c r="A382" i="4"/>
  <c r="A369" i="4"/>
  <c r="A336" i="4"/>
  <c r="A373" i="4"/>
  <c r="A404" i="4"/>
  <c r="A324" i="4"/>
  <c r="A385" i="4"/>
  <c r="A421" i="4"/>
  <c r="A377" i="4"/>
  <c r="A360" i="4"/>
  <c r="A417" i="4"/>
  <c r="A322" i="4"/>
  <c r="A368" i="4"/>
  <c r="A358" i="4"/>
  <c r="A334" i="4"/>
  <c r="A310" i="4"/>
  <c r="A366" i="4"/>
  <c r="A375" i="4"/>
  <c r="A325" i="4"/>
  <c r="A387" i="4"/>
  <c r="A320" i="4"/>
  <c r="A354" i="4"/>
  <c r="A277" i="4"/>
  <c r="A275" i="4"/>
  <c r="A276" i="4"/>
  <c r="A278" i="4"/>
  <c r="A263" i="4"/>
  <c r="A280" i="4"/>
  <c r="A274" i="4"/>
  <c r="A283" i="4"/>
  <c r="A271" i="4"/>
  <c r="A273" i="4"/>
  <c r="A272" i="4"/>
  <c r="A270" i="4"/>
  <c r="A282" i="4"/>
  <c r="A266" i="4"/>
  <c r="A300" i="4"/>
  <c r="A281" i="4"/>
  <c r="A247" i="4"/>
  <c r="A197" i="4"/>
  <c r="A248" i="4"/>
  <c r="A286" i="4"/>
  <c r="A219" i="4"/>
  <c r="A299" i="4"/>
  <c r="A241" i="4"/>
  <c r="A213" i="4"/>
  <c r="A190" i="4"/>
  <c r="A208" i="4"/>
  <c r="A221" i="4"/>
  <c r="A264" i="4"/>
  <c r="A267" i="4"/>
  <c r="A212" i="4"/>
  <c r="A195" i="4"/>
  <c r="A204" i="4"/>
  <c r="A296" i="4"/>
  <c r="A232" i="4"/>
  <c r="A218" i="4"/>
  <c r="A236" i="4"/>
  <c r="A243" i="4"/>
  <c r="A203" i="4"/>
  <c r="A250" i="4"/>
  <c r="A269" i="4"/>
  <c r="A265" i="4"/>
  <c r="A295" i="4"/>
  <c r="A202" i="4"/>
  <c r="A233" i="4"/>
  <c r="A222" i="4"/>
  <c r="A226" i="4"/>
  <c r="A214" i="4"/>
  <c r="A260" i="4"/>
  <c r="A254" i="4"/>
  <c r="A201" i="4"/>
  <c r="A228" i="4"/>
  <c r="A199" i="4"/>
  <c r="A211" i="4"/>
  <c r="A244" i="4"/>
  <c r="A287" i="4"/>
  <c r="A209" i="4"/>
  <c r="A259" i="4"/>
  <c r="A240" i="4"/>
  <c r="A238" i="4"/>
  <c r="A191" i="4"/>
  <c r="A194" i="4"/>
  <c r="A193" i="4"/>
  <c r="A251" i="4"/>
  <c r="A229" i="4"/>
  <c r="A217" i="4"/>
  <c r="A257" i="4"/>
  <c r="A293" i="4"/>
  <c r="A206" i="4"/>
  <c r="A291" i="4"/>
  <c r="A290" i="4"/>
  <c r="A231" i="4"/>
  <c r="A196" i="4"/>
  <c r="A302" i="4"/>
  <c r="A234" i="4"/>
  <c r="A297" i="4"/>
  <c r="A225" i="4"/>
  <c r="A224" i="4"/>
  <c r="A253" i="4"/>
  <c r="A249" i="4"/>
  <c r="A223" i="4"/>
  <c r="A301" i="4"/>
  <c r="A261" i="4"/>
  <c r="A200" i="4"/>
  <c r="A258" i="4"/>
  <c r="A289" i="4"/>
  <c r="A252" i="4"/>
  <c r="A256" i="4"/>
  <c r="A207" i="4"/>
  <c r="A294" i="4"/>
  <c r="A216" i="4"/>
  <c r="A246" i="4"/>
  <c r="A189" i="4"/>
  <c r="A255" i="4"/>
  <c r="A227" i="4"/>
  <c r="A288" i="4"/>
  <c r="A242" i="4"/>
  <c r="A298" i="4"/>
  <c r="A237" i="4"/>
  <c r="A262" i="4"/>
  <c r="A304" i="4"/>
  <c r="A210" i="4"/>
  <c r="A186" i="4"/>
  <c r="A230" i="4"/>
  <c r="A303" i="4"/>
  <c r="A205" i="4"/>
  <c r="A188" i="4"/>
  <c r="A198" i="4"/>
  <c r="A245" i="4"/>
  <c r="A292" i="4"/>
  <c r="A187" i="4"/>
  <c r="A220" i="4"/>
  <c r="A239" i="4"/>
  <c r="A192" i="4"/>
  <c r="A215" i="4"/>
  <c r="A235" i="4"/>
  <c r="A305" i="4"/>
  <c r="A162" i="4"/>
  <c r="A165" i="4"/>
  <c r="A163" i="4"/>
  <c r="A164" i="4"/>
  <c r="A137" i="4"/>
  <c r="A177" i="4"/>
  <c r="A149" i="4"/>
  <c r="A166" i="4"/>
  <c r="A144" i="4"/>
  <c r="A147" i="4"/>
  <c r="A143" i="4"/>
  <c r="A140" i="4"/>
  <c r="A145" i="4"/>
  <c r="A151" i="4"/>
  <c r="A135" i="4"/>
  <c r="A181" i="4"/>
  <c r="A183" i="4"/>
  <c r="A98" i="4"/>
  <c r="A167" i="4"/>
  <c r="A161" i="4"/>
  <c r="A134" i="4"/>
  <c r="A138" i="4"/>
  <c r="A158" i="4"/>
  <c r="A155" i="4"/>
  <c r="A131" i="4"/>
  <c r="A148" i="4"/>
  <c r="A153" i="4"/>
  <c r="A169" i="4"/>
  <c r="A171" i="4"/>
  <c r="A175" i="4"/>
  <c r="A26" i="4"/>
  <c r="A146" i="4"/>
  <c r="A136" i="4"/>
  <c r="A159" i="4"/>
  <c r="A139" i="4"/>
  <c r="A170" i="4"/>
  <c r="A172" i="4"/>
  <c r="A168" i="4"/>
  <c r="A150" i="4"/>
  <c r="A142" i="4"/>
  <c r="A173" i="4"/>
  <c r="A160" i="4"/>
  <c r="A152" i="4"/>
  <c r="A157" i="4"/>
  <c r="A174" i="4"/>
  <c r="A179" i="4"/>
  <c r="A178" i="4"/>
  <c r="A141" i="4"/>
  <c r="A99" i="4"/>
  <c r="A132" i="4"/>
  <c r="A100" i="4"/>
  <c r="A129" i="4"/>
  <c r="A130" i="4"/>
  <c r="A182" i="4"/>
  <c r="A154" i="4"/>
  <c r="A156" i="4"/>
  <c r="A176" i="4"/>
  <c r="A180" i="4"/>
  <c r="A133" i="4"/>
  <c r="A25" i="4"/>
  <c r="A29" i="4"/>
  <c r="A42" i="4"/>
  <c r="A80" i="4"/>
  <c r="A95" i="4"/>
  <c r="A115" i="4"/>
  <c r="A31" i="4"/>
  <c r="A67" i="4"/>
  <c r="A71" i="4"/>
  <c r="A38" i="4"/>
  <c r="A49" i="4"/>
  <c r="A81" i="4"/>
  <c r="A119" i="4"/>
  <c r="A59" i="4"/>
  <c r="A72" i="4"/>
  <c r="A24" i="4"/>
  <c r="A116" i="4"/>
  <c r="A110" i="4"/>
  <c r="A56" i="4"/>
  <c r="A66" i="4"/>
  <c r="A79" i="4"/>
  <c r="A125" i="4"/>
  <c r="A69" i="4"/>
  <c r="A62" i="4"/>
  <c r="A85" i="4"/>
  <c r="A68" i="4"/>
  <c r="A58" i="4"/>
  <c r="A124" i="4"/>
  <c r="A102" i="4"/>
  <c r="A70" i="4"/>
  <c r="A93" i="4"/>
  <c r="A111" i="4"/>
  <c r="A52" i="4"/>
  <c r="A33" i="4"/>
  <c r="A55" i="4"/>
  <c r="A73" i="4"/>
  <c r="A112" i="4"/>
  <c r="A74" i="4"/>
  <c r="A47" i="4"/>
  <c r="A41" i="4"/>
  <c r="A86" i="4"/>
  <c r="A113" i="4"/>
  <c r="A45" i="4"/>
  <c r="A28" i="4"/>
  <c r="A121" i="4"/>
  <c r="A34" i="4"/>
  <c r="A53" i="4"/>
  <c r="A84" i="4"/>
  <c r="A126" i="4"/>
  <c r="A78" i="4"/>
  <c r="A61" i="4"/>
  <c r="A35" i="4"/>
  <c r="A27" i="4"/>
  <c r="A39" i="4"/>
  <c r="A37" i="4"/>
  <c r="A51" i="4"/>
  <c r="A92" i="4"/>
  <c r="A120" i="4"/>
  <c r="A94" i="4"/>
  <c r="A57" i="4"/>
  <c r="A64" i="4"/>
  <c r="A108" i="4"/>
  <c r="A44" i="4"/>
  <c r="A36" i="4"/>
  <c r="A76" i="4"/>
  <c r="A54" i="4"/>
  <c r="A32" i="4"/>
  <c r="A75" i="4"/>
  <c r="A30" i="4"/>
  <c r="A87" i="4"/>
  <c r="A82" i="4"/>
  <c r="A123" i="4"/>
  <c r="A107" i="4"/>
  <c r="A118" i="4"/>
  <c r="A122" i="4"/>
  <c r="A65" i="4"/>
  <c r="A89" i="4"/>
  <c r="A43" i="4"/>
  <c r="A46" i="4"/>
  <c r="A114" i="4"/>
  <c r="A48" i="4"/>
  <c r="A77" i="4"/>
  <c r="A117" i="4"/>
  <c r="A63" i="4"/>
  <c r="A90" i="4"/>
  <c r="A40" i="4"/>
  <c r="A88" i="4"/>
  <c r="A60" i="4"/>
  <c r="A109" i="4"/>
  <c r="A50" i="4"/>
  <c r="A83" i="4"/>
  <c r="A101" i="4"/>
  <c r="I664" i="4" l="1"/>
  <c r="I668" i="4"/>
  <c r="I670" i="4" s="1"/>
  <c r="I669" i="4" s="1"/>
</calcChain>
</file>

<file path=xl/sharedStrings.xml><?xml version="1.0" encoding="utf-8"?>
<sst xmlns="http://schemas.openxmlformats.org/spreadsheetml/2006/main" count="2028" uniqueCount="245">
  <si>
    <t>шт</t>
  </si>
  <si>
    <t>м2</t>
  </si>
  <si>
    <t>м</t>
  </si>
  <si>
    <t>кг</t>
  </si>
  <si>
    <t>Норма расхода</t>
  </si>
  <si>
    <t>Объём работ</t>
  </si>
  <si>
    <t>Примечание</t>
  </si>
  <si>
    <t>всего</t>
  </si>
  <si>
    <t>в том числе</t>
  </si>
  <si>
    <t>Работа</t>
  </si>
  <si>
    <t>Материалы</t>
  </si>
  <si>
    <t>Материал подрядчика</t>
  </si>
  <si>
    <t>Расходный материал</t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</si>
  <si>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</si>
  <si>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</si>
  <si>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</si>
  <si>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>Согласие на подписание типовой формы договора заказчика без протокола разногласий</t>
  </si>
  <si>
    <t>Да/Нет</t>
  </si>
  <si>
    <t>Контактные данные Участника (ФИО, номер телефона, адрес электронной почты):</t>
  </si>
  <si>
    <t>на выполнение строительно-монтажных работ по устройству кровли</t>
  </si>
  <si>
    <t>л</t>
  </si>
  <si>
    <t>Раствор цементно-песчаный М150</t>
  </si>
  <si>
    <t>м3</t>
  </si>
  <si>
    <t>м/п</t>
  </si>
  <si>
    <t xml:space="preserve">Устройство галтели из цементно-песчаной стяжки М 150 , 100х100
</t>
  </si>
  <si>
    <t>Распорный дюбель (5 шт/1 м)</t>
  </si>
  <si>
    <t>Установка водоприемных воронок</t>
  </si>
  <si>
    <t>Держатель трубы</t>
  </si>
  <si>
    <t>*Размеры уточнить по месту перед тем, как начать нарезку элементов мерной длины</t>
  </si>
  <si>
    <t>Перед началом производства работ уточнить актуальность рабочей документации</t>
  </si>
  <si>
    <t>Общая площадь кровли, м2</t>
  </si>
  <si>
    <t>Площадь кровли за вычетом ВШ, м2</t>
  </si>
  <si>
    <t>Длина примыканий, м</t>
  </si>
  <si>
    <t>Рейка краевая алюминиевая ТЕХНОНИКОЛЬ 4.8х50</t>
  </si>
  <si>
    <t>Ед. изм.</t>
  </si>
  <si>
    <t>Сегмент №</t>
  </si>
  <si>
    <t>S1</t>
  </si>
  <si>
    <t>S2</t>
  </si>
  <si>
    <t>S3</t>
  </si>
  <si>
    <t>Объем стяжки, м3</t>
  </si>
  <si>
    <t>Толщина t1, м</t>
  </si>
  <si>
    <t>Толщина t2, м</t>
  </si>
  <si>
    <t>Площадь сегмента, м2</t>
  </si>
  <si>
    <t>Общий объем стяжки, м3</t>
  </si>
  <si>
    <t>Установка аэраторов</t>
  </si>
  <si>
    <t>№ п/п</t>
  </si>
  <si>
    <t>Установка парапетных воронок</t>
  </si>
  <si>
    <t>Устройство утепления 100мм</t>
  </si>
  <si>
    <t>Устройство наплавляемой гидроизоляции 2 слоя</t>
  </si>
  <si>
    <t>Полиуретановый герметик 600мл</t>
  </si>
  <si>
    <t>Огрунтовка поверхности ж/б плиты битумным праймером с учётом примыканий на 350мм</t>
  </si>
  <si>
    <t>Устройство слоя пароизоляции</t>
  </si>
  <si>
    <t>Герметизация примыкания к фановым трубам</t>
  </si>
  <si>
    <t>Устройство отлива покрытия</t>
  </si>
  <si>
    <t>Аэратор кровельный 160х450</t>
  </si>
  <si>
    <t>Обжимной хомут из оцинкованной стали /Держатель для трубы D150</t>
  </si>
  <si>
    <t>Монтаж водосточной системы</t>
  </si>
  <si>
    <t>Мастика герметизирующая Технониколь №71 600мл</t>
  </si>
  <si>
    <t>Уголок 63х63х5 L=300мм, ГОСТ 8509-93</t>
  </si>
  <si>
    <t>Круг ø 30 L=730мм, ГОСТ 2590-88</t>
  </si>
  <si>
    <t>Распорный анкер М10</t>
  </si>
  <si>
    <t>Лист t10 150х120мм, ГОСТ 19903-90</t>
  </si>
  <si>
    <t>Уголок 63х63х5 L=730мм, ГОСТ 8509-93</t>
  </si>
  <si>
    <t>Грунтовка ПФ-020 (2слоя)</t>
  </si>
  <si>
    <t>Эмаль ПФ-115 (2 слоя)</t>
  </si>
  <si>
    <t>Кровля секция 1, 2</t>
  </si>
  <si>
    <t>Площадь вентшахт, м2</t>
  </si>
  <si>
    <t>Тип кровли</t>
  </si>
  <si>
    <t>вентшахты</t>
  </si>
  <si>
    <t>ИТОГО</t>
  </si>
  <si>
    <t>Стяжка</t>
  </si>
  <si>
    <t>Площади, примыкания</t>
  </si>
  <si>
    <t>Экструзионный пенополистирол 100 мм.</t>
  </si>
  <si>
    <t>Пароизоляционная пленка 200 мкм</t>
  </si>
  <si>
    <t>Сетка 4 Вр1 с ячейкой 200х200</t>
  </si>
  <si>
    <t>Праймер битумный ТЕХНОНИКОЛЬ №1 (или аналог)</t>
  </si>
  <si>
    <t>Наплавляемый материал "Линокром ЭПП" (1 слой) или аналог-4 мм</t>
  </si>
  <si>
    <t>Наплавляемый материал "Унифлекс ВЕНТ" (1 слой) или аналог-4 мм</t>
  </si>
  <si>
    <t>Парапетная воронка D100</t>
  </si>
  <si>
    <t>Водосточная труба D100, L=1900 мм.</t>
  </si>
  <si>
    <t>Угловой отвод</t>
  </si>
  <si>
    <t>Устройство утепления 30 мм</t>
  </si>
  <si>
    <t>Экструзионный пенополистирол 30 мм.</t>
  </si>
  <si>
    <t>Устройство цементно-песчаной стяжки М 150 армированная сеткой 4 Вр1 с ячейкой 
 200х200 - толщ. 50 мм</t>
  </si>
  <si>
    <t>Устройство обмазочной гидроизоляции 2 слоя</t>
  </si>
  <si>
    <t>Мастика кровельная гидроизоляционная</t>
  </si>
  <si>
    <t>Геотекстиль иглопробивной (термофиксированный) ТЕХНОНИКОЛЬ ГЕО 150</t>
  </si>
  <si>
    <t>Бетонная тротуарная плитка марки 6К.5 500х500 толщиной 50 мм</t>
  </si>
  <si>
    <t>Устройство утепления 50мм</t>
  </si>
  <si>
    <t>Утеплитель ТЕХНОФАС ЭКСТРА 50 мм</t>
  </si>
  <si>
    <t>Фасадный крепеж TERMOCLIP</t>
  </si>
  <si>
    <t>Штукатурка стен ЦПС М150 по сетке</t>
  </si>
  <si>
    <t>Сетка 5 Вр1 с ячейкой 100х100</t>
  </si>
  <si>
    <t>Уголок 63х63х5 L=2863мм, ГОСТ 8509-93</t>
  </si>
  <si>
    <t>Уголок 63х63х5 L=343мм, ГОСТ 8509-93</t>
  </si>
  <si>
    <t>Уголок 63х63х5 L=480мм, ГОСТ 8509-93</t>
  </si>
  <si>
    <t>Лист t5 (рифленный) 1190х730мм, ГОСТ 8568-77</t>
  </si>
  <si>
    <t>Уголок 63х63х5 L=1190мм, ГОСТ 8509-93</t>
  </si>
  <si>
    <t>Уголок 63х63х5 L=290мм, ГОСТ 8509-93</t>
  </si>
  <si>
    <t>Фартук из оцинкованной кровельной стали ГОСТ 14918-2020, L=650 мм s=0,5 (ОП-1)</t>
  </si>
  <si>
    <t>Фартук из оцинкованной кровельной стали ГОСТ 14918-2020, L=750 мм s=0,5 (ОП-2)</t>
  </si>
  <si>
    <t>Фартук из оцинкованной кровельной стали ГОСТ 14918-2020, L=790 мм s=0,5 (ОП-3)</t>
  </si>
  <si>
    <t>Фартук из оцинкованной кровельной стали ГОСТ 14918-2020, L=830 мм s=0,5 (ОП-4)</t>
  </si>
  <si>
    <t>Фартук из оцинкованной кровельной стали ГОСТ 14918-2020, L=330 мм s=0,5 (ОП-5)</t>
  </si>
  <si>
    <t>Фартук из оцинкованной кровельной стали ГОСТ 14918-2020, L=460 мм s=0,5 (ОП-6)</t>
  </si>
  <si>
    <t>Кровельный костыль КК-1 Полоса 40х4 L=700 мм</t>
  </si>
  <si>
    <t>Кровельный костыль КК-2 Полоса 40х4 L=800 мм</t>
  </si>
  <si>
    <t>Кровельный костыль КК-3 Полоса 40х4 L=840 мм</t>
  </si>
  <si>
    <t>Кровельный костыль КК-4 Полоса 40х4 L=880 мм</t>
  </si>
  <si>
    <t>Кровельный костыль КК-5 Полоса 40х4 L=290 мм</t>
  </si>
  <si>
    <t>Кровельный костыль КК-6 Полоса 40х4 L=420 мм</t>
  </si>
  <si>
    <t>Кровельный костыль КК-8 Полоса 40х4 L=470 мм</t>
  </si>
  <si>
    <t>Фартук из оцинкованной кровельной стали ГОСТ 14918-2020, L=300 мм s=0,5 (ФК-1)</t>
  </si>
  <si>
    <t>Отлив из оцинкованной кровельной стали ГОСТ 14918-2020, L=760 мм s=0,5 (ФО-1)</t>
  </si>
  <si>
    <t>Окраска металлоконструкций в 2 слоя по грунтовке</t>
  </si>
  <si>
    <t>Раздел 1. Основная кровля (Тип 1, 2)</t>
  </si>
  <si>
    <t>Укладка пароизоляции с учётом примыканий на 350мм</t>
  </si>
  <si>
    <t>Пропан</t>
  </si>
  <si>
    <t>Наплавляемый материал "Унифлекс ЭКП" или аналог - 4 мм</t>
  </si>
  <si>
    <t>Устройство примыканий наплавляемой гидроизоляции в 2 слоя</t>
  </si>
  <si>
    <t>Кровельная воронка с подогревом ТехноНИКОЛЬ Стандарт с прижимным фланцем 110х590мм или аналог</t>
  </si>
  <si>
    <t>Сливное колено D100 (60˚)</t>
  </si>
  <si>
    <t>Труба ø 40 L=2480мм, ГОСТ 8732-78</t>
  </si>
  <si>
    <t>Устройство фартуков парапета</t>
  </si>
  <si>
    <t>Комплекс работ по устройству кровельных зонтов из оцинкованной стали с полимерным покрытием и сеткой от птиц (длина одной из сторон до 1600 мм)</t>
  </si>
  <si>
    <t>Комплекс работ по устройству кровельных зонтов из оцинкованной стали с полимерным покрытием и сеткой от птиц (длина одной из сторон до 2400 мм)</t>
  </si>
  <si>
    <t>Раздел 2. Кровля (Тип 3)</t>
  </si>
  <si>
    <t>Огрунтовка поверхности ж/б плиты битумным праймером</t>
  </si>
  <si>
    <t>Укладка пароизоляции</t>
  </si>
  <si>
    <t>Укладка геотекстиля для защитного покрытия кровли</t>
  </si>
  <si>
    <t>Устройство защитного покрытия кровли из плит тротуарных</t>
  </si>
  <si>
    <t>Расходный и крепежный материал.</t>
  </si>
  <si>
    <t>ВЕДОМОСТЬ ОБЪЕМОВ РАБОТ</t>
  </si>
  <si>
    <t>Наименование работ</t>
  </si>
  <si>
    <t>Устройство цементно-песчаной стяжки М 150 армированная сеткой 4 Вр1 с ячейкой 200х200 - толщ. от 50 мм до 100 мм, по уклону</t>
  </si>
  <si>
    <t>Зонт -1</t>
  </si>
  <si>
    <t>Зонт -2</t>
  </si>
  <si>
    <t>Зонт -3</t>
  </si>
  <si>
    <t>Зонт -4</t>
  </si>
  <si>
    <t>Кол-во</t>
  </si>
  <si>
    <t>Зонты</t>
  </si>
  <si>
    <t>Комплекс работ по устройству кровельных зонтов из оцинкованной стали с полимерным покрытием и сеткой от птиц (длина одной из сторон до 2200 мм)</t>
  </si>
  <si>
    <t>Кровля секция 3</t>
  </si>
  <si>
    <t>Раздел 1. Основная кровля (Тип 4)</t>
  </si>
  <si>
    <t>Зонт -7</t>
  </si>
  <si>
    <t>Зонт -8</t>
  </si>
  <si>
    <t>Кровля секция 1,2</t>
  </si>
  <si>
    <t>Зонт -14</t>
  </si>
  <si>
    <t>Зонт -15</t>
  </si>
  <si>
    <t>Фартук из оцинкованной кровельной стали ГОСТ 14918-2020, L= мм s=0,5 (ФК-2)</t>
  </si>
  <si>
    <t>Кровля секция 4</t>
  </si>
  <si>
    <t>Зонт -12</t>
  </si>
  <si>
    <t xml:space="preserve">Дефшов м/у секциями </t>
  </si>
  <si>
    <t>Фартук из оцинкованной кровельной стали ГОСТ 14918-2020, L=1500 мм s=0,5 (ОП-7)</t>
  </si>
  <si>
    <t>Кровельный костыль КК-7.1 Полоса 40х4 L=550 мм</t>
  </si>
  <si>
    <t>Кровельный костыль КК-7.2 Полоса 40х4 L=470 мм</t>
  </si>
  <si>
    <t>Комплекс работ по устройству кровельных зонтов из оцинкованной стали с полимерным покрытием и сеткой от птиц (длина одной из сторон свыше 2400 мм)</t>
  </si>
  <si>
    <t>Устройство деформационного шва на кровле (примыкание между 9 эт.)</t>
  </si>
  <si>
    <t>Компенсатор из оцинкованной кровельной стали ГОСТ 14918-2020, L=1670 мм s=0,5 (К-3)</t>
  </si>
  <si>
    <t>Наплавляемый материал "Техноэласт ЭПП"</t>
  </si>
  <si>
    <t>Пароизоляционный материал "Технобарьер"</t>
  </si>
  <si>
    <t>Гидроизоляционный материал "Технониколь Флекс"</t>
  </si>
  <si>
    <t>Утеплитель "Технолайт Экстра"</t>
  </si>
  <si>
    <t>Кровля секция 5</t>
  </si>
  <si>
    <t>Зонт -5</t>
  </si>
  <si>
    <t>Зонт -6</t>
  </si>
  <si>
    <t>Зонт -10</t>
  </si>
  <si>
    <t>Зонт -11</t>
  </si>
  <si>
    <t>Зонт кровельный (Зонт-11) 2630х940 мм</t>
  </si>
  <si>
    <t>Кровля секция 6</t>
  </si>
  <si>
    <t>Грунтовка ПФ-020 (2 слоя)</t>
  </si>
  <si>
    <t xml:space="preserve">Изготовление и монтаж тремянки ЛМ-1 </t>
  </si>
  <si>
    <t>на объекте: "Многоквартирный жилой комплекс по адресу: Краснодарский край, р-н Динской, п. Южный. 2 очередь". Литер 8</t>
  </si>
  <si>
    <t>до 1600</t>
  </si>
  <si>
    <t>до 2200</t>
  </si>
  <si>
    <t>до 2400</t>
  </si>
  <si>
    <t>свыше 2400</t>
  </si>
  <si>
    <t>Зонт кровельный (Зонт-1) 1195х825 мм</t>
  </si>
  <si>
    <t>Зонт кровельный (Зонт-2) 1290х920 мм</t>
  </si>
  <si>
    <t>Зонт кровельный (Зонт-6) 1020х920 мм</t>
  </si>
  <si>
    <t>Зонт кровельный (Зонт-7) 1590х920 мм</t>
  </si>
  <si>
    <t>Зонт кровельный (Зонт-3) 1800х1360х920 мм</t>
  </si>
  <si>
    <t>Зонт кровельный (Зонт-14) 1980х920 мм</t>
  </si>
  <si>
    <t>Зонт кровельный (Зонт-4) 2290х1100 мм</t>
  </si>
  <si>
    <t>Зонт кровельный (Зонт-5) 2770х920 мм</t>
  </si>
  <si>
    <t>Зонт кровельный (Зонт-8) 2590х920 мм</t>
  </si>
  <si>
    <t>Зонт -22</t>
  </si>
  <si>
    <t>Зонт -23</t>
  </si>
  <si>
    <t>Зонт кровельный (Зонт-22) 760х830 мм</t>
  </si>
  <si>
    <t>Зонт кровельный (Зонт-23) 1140х835 мм</t>
  </si>
  <si>
    <t>Зонт -9у</t>
  </si>
  <si>
    <t>Зонт кровельный (Зонт-10) 1590х920 мм</t>
  </si>
  <si>
    <t>Зонт кровельный (Зонт-9у) 2260х1900х920 мм</t>
  </si>
  <si>
    <t>Зонт кровельный (Зонт-11) 4640х920 мм</t>
  </si>
  <si>
    <t>Зонт кровельный (Зонт-12) 2515х920 мм</t>
  </si>
  <si>
    <t>Зонт -16</t>
  </si>
  <si>
    <t>Зонт кровельный (Зонт-15) 1630х920 мм</t>
  </si>
  <si>
    <t>Зонт кровельный (Зонт-16) 4580х940 мм</t>
  </si>
  <si>
    <t>Зонт -18</t>
  </si>
  <si>
    <t>Зонт -17</t>
  </si>
  <si>
    <t>Зонт кровельный (Зонт-17) 1590х1205 мм</t>
  </si>
  <si>
    <t>Зонт кровельный (Зонт-16) 2415х920 мм</t>
  </si>
  <si>
    <t>Зонт кровельный (Зонт-18) 2570х920 мм</t>
  </si>
  <si>
    <t>Кровля секция 7</t>
  </si>
  <si>
    <t>Зонт -19</t>
  </si>
  <si>
    <t>Зонт -20</t>
  </si>
  <si>
    <t>Зонт -21</t>
  </si>
  <si>
    <t>1200х825</t>
  </si>
  <si>
    <t>1290х920</t>
  </si>
  <si>
    <t>4620х920</t>
  </si>
  <si>
    <t>1590х920</t>
  </si>
  <si>
    <t xml:space="preserve">2415х920 </t>
  </si>
  <si>
    <t>2565х920</t>
  </si>
  <si>
    <t>1830х920</t>
  </si>
  <si>
    <t>1330х1200</t>
  </si>
  <si>
    <t>1720х920</t>
  </si>
  <si>
    <t>Зонт кровельный (Зонт-1) 1200х825 мм</t>
  </si>
  <si>
    <t>Зонт кровельный (Зонт-20) 1330х1200 мм</t>
  </si>
  <si>
    <t>Зонт кровельный (Зонт-19) 1830х920 мм</t>
  </si>
  <si>
    <t>Зонт кровельный (Зонт-21) 1720х920 мм</t>
  </si>
  <si>
    <t>Зонт кровельный (Зонт-8) 4620х920 мм</t>
  </si>
  <si>
    <t>Зонт кровельный (Зонт-18) 2565х920 мм</t>
  </si>
  <si>
    <t>Цена за ед. изм., руб. без НДС</t>
  </si>
  <si>
    <t>Стоимость, руб. без НДС</t>
  </si>
  <si>
    <t xml:space="preserve">Материал не указанный в спецификации, но необходимый для качественного выполнения работ и СМР неучтенные в ведомости объемов работ (ВОР). </t>
  </si>
  <si>
    <t>ИТОГО, руб. без НДС</t>
  </si>
  <si>
    <t>НДС, 22%</t>
  </si>
  <si>
    <t>ИТОГО, руб с НДС</t>
  </si>
  <si>
    <t>Обязательная поля для заполнения участников:</t>
  </si>
  <si>
    <t>Форма ответа Подрядчика/Поставщика</t>
  </si>
  <si>
    <t>Наименование организации, ИНН</t>
  </si>
  <si>
    <t>Указать в текстовом виде</t>
  </si>
  <si>
    <t>Начало работ на объекте (по ТЗ согласно ГПР):</t>
  </si>
  <si>
    <t>Окончание работ (по ТЗ согласно ГПР):</t>
  </si>
  <si>
    <t>Срок поставки в календарных днях</t>
  </si>
  <si>
    <t>Условия оплаты: поэтапно 100% постоплата, отсрочка платежа 30 календарных дней</t>
  </si>
  <si>
    <t>Гарантийные обязательства на материалы/работы/услуги не менее 60 месяцев</t>
  </si>
  <si>
    <t>Доставка силами и за счет поставщика включена в общую стоимость</t>
  </si>
  <si>
    <t>Указать систему налогообложения</t>
  </si>
  <si>
    <t>ОСН/УСН</t>
  </si>
  <si>
    <t>Наличие СРО на Строительно-монтажные работы</t>
  </si>
  <si>
    <t>Приложить Референс-лист</t>
  </si>
  <si>
    <t>Приложить текстовый файл в свободной форме, должен содержать инфо с опытом работы в каких годах какие работы выполняли, в каких объемах, у каких застройщиков работали.</t>
  </si>
  <si>
    <t>файл</t>
  </si>
  <si>
    <t>Комментарий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</si>
</sst>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  <numFmt numFmtId="166" formatCode="0.000"/>
    <numFmt numFmtId="167" formatCode="#,##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EB9C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CC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rgb="FFF2F2F2"/>
      </patternFill>
    </fill>
    <fill>
      <patternFill patternType="solid">
        <fgColor theme="0"/>
        <bgColor indexed="26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0">
    <xf numFmtId="0" fontId="0" fillId="0" borderId="0"/>
    <xf numFmtId="0" fontId="3" fillId="0" borderId="0" applyProtection="0"/>
    <xf numFmtId="0" fontId="4" fillId="0" borderId="1">
      <alignment horizontal="center"/>
    </xf>
    <xf numFmtId="0" fontId="3" fillId="0" borderId="0">
      <alignment vertical="top"/>
    </xf>
    <xf numFmtId="0" fontId="4" fillId="0" borderId="1">
      <alignment horizontal="center"/>
    </xf>
    <xf numFmtId="0" fontId="4" fillId="0" borderId="0">
      <alignment vertical="top"/>
    </xf>
    <xf numFmtId="0" fontId="4" fillId="0" borderId="0">
      <alignment horizontal="right" vertical="top" wrapText="1"/>
    </xf>
    <xf numFmtId="0" fontId="4" fillId="0" borderId="0"/>
    <xf numFmtId="0" fontId="4" fillId="0" borderId="0"/>
    <xf numFmtId="0" fontId="4" fillId="0" borderId="0"/>
    <xf numFmtId="2" fontId="5" fillId="0" borderId="0">
      <alignment horizontal="right" vertical="top"/>
    </xf>
    <xf numFmtId="0" fontId="4" fillId="0" borderId="0"/>
    <xf numFmtId="0" fontId="4" fillId="0" borderId="1" applyFill="0" applyProtection="0">
      <alignment horizontal="center"/>
    </xf>
    <xf numFmtId="0" fontId="4" fillId="0" borderId="1" applyFill="0" applyProtection="0">
      <alignment horizontal="center"/>
    </xf>
    <xf numFmtId="0" fontId="3" fillId="0" borderId="0">
      <alignment vertical="top"/>
    </xf>
    <xf numFmtId="0" fontId="4" fillId="0" borderId="0"/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left" vertical="top"/>
    </xf>
    <xf numFmtId="0" fontId="4" fillId="0" borderId="0"/>
    <xf numFmtId="0" fontId="3" fillId="0" borderId="0"/>
    <xf numFmtId="0" fontId="6" fillId="0" borderId="0"/>
    <xf numFmtId="0" fontId="8" fillId="0" borderId="0"/>
    <xf numFmtId="164" fontId="3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12" fillId="0" borderId="0"/>
    <xf numFmtId="0" fontId="3" fillId="0" borderId="0"/>
    <xf numFmtId="165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0" fontId="13" fillId="0" borderId="0"/>
    <xf numFmtId="0" fontId="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5" fillId="3" borderId="2" applyProtection="0"/>
    <xf numFmtId="0" fontId="16" fillId="4" borderId="0" applyBorder="0" applyProtection="0"/>
    <xf numFmtId="0" fontId="17" fillId="5" borderId="0" applyBorder="0" applyProtection="0"/>
    <xf numFmtId="0" fontId="18" fillId="6" borderId="0" applyBorder="0" applyProtection="0"/>
    <xf numFmtId="0" fontId="7" fillId="0" borderId="0"/>
    <xf numFmtId="0" fontId="4" fillId="0" borderId="4">
      <alignment horizontal="center"/>
    </xf>
    <xf numFmtId="0" fontId="4" fillId="0" borderId="4">
      <alignment horizontal="center"/>
    </xf>
    <xf numFmtId="0" fontId="4" fillId="0" borderId="4" applyFill="0" applyProtection="0">
      <alignment horizontal="center"/>
    </xf>
    <xf numFmtId="0" fontId="4" fillId="0" borderId="4" applyFill="0" applyProtection="0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4" fillId="0" borderId="4">
      <alignment horizontal="center" wrapText="1"/>
    </xf>
    <xf numFmtId="0" fontId="4" fillId="0" borderId="4">
      <alignment horizontal="center"/>
    </xf>
    <xf numFmtId="0" fontId="2" fillId="0" borderId="0"/>
    <xf numFmtId="165" fontId="2" fillId="0" borderId="0" applyFont="0" applyFill="0" applyBorder="0" applyAlignment="0" applyProtection="0"/>
    <xf numFmtId="0" fontId="15" fillId="12" borderId="2" applyProtection="0"/>
    <xf numFmtId="0" fontId="16" fillId="13" borderId="0" applyBorder="0" applyProtection="0"/>
    <xf numFmtId="0" fontId="16" fillId="4" borderId="0" applyBorder="0" applyProtection="0"/>
    <xf numFmtId="0" fontId="16" fillId="13" borderId="0" applyBorder="0" applyProtection="0"/>
    <xf numFmtId="0" fontId="15" fillId="3" borderId="2" applyProtection="0"/>
    <xf numFmtId="0" fontId="15" fillId="12" borderId="2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54">
    <xf numFmtId="0" fontId="0" fillId="0" borderId="0" xfId="0"/>
    <xf numFmtId="0" fontId="21" fillId="0" borderId="11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1" fontId="4" fillId="0" borderId="0" xfId="0" applyNumberFormat="1" applyFont="1" applyAlignment="1">
      <alignment vertical="top" wrapText="1"/>
    </xf>
    <xf numFmtId="2" fontId="4" fillId="0" borderId="0" xfId="0" applyNumberFormat="1" applyFont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25" fillId="0" borderId="0" xfId="69" applyFont="1" applyFill="1" applyAlignment="1">
      <alignment vertical="top" wrapText="1"/>
    </xf>
    <xf numFmtId="4" fontId="4" fillId="0" borderId="0" xfId="0" applyNumberFormat="1" applyFont="1" applyAlignment="1">
      <alignment horizontal="center" vertical="top" wrapText="1"/>
    </xf>
    <xf numFmtId="4" fontId="4" fillId="0" borderId="0" xfId="68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1" fontId="4" fillId="0" borderId="11" xfId="37" applyNumberFormat="1" applyFont="1" applyBorder="1" applyAlignment="1">
      <alignment horizontal="center" vertical="top" wrapText="1"/>
    </xf>
    <xf numFmtId="0" fontId="4" fillId="9" borderId="11" xfId="0" applyFont="1" applyFill="1" applyBorder="1" applyAlignment="1">
      <alignment vertical="top" wrapText="1"/>
    </xf>
    <xf numFmtId="0" fontId="22" fillId="9" borderId="11" xfId="37" applyFont="1" applyFill="1" applyBorder="1" applyAlignment="1">
      <alignment horizontal="centerContinuous" vertical="top" wrapText="1"/>
    </xf>
    <xf numFmtId="0" fontId="22" fillId="9" borderId="11" xfId="37" applyFont="1" applyFill="1" applyBorder="1" applyAlignment="1">
      <alignment horizontal="center" vertical="top" wrapText="1"/>
    </xf>
    <xf numFmtId="0" fontId="4" fillId="16" borderId="11" xfId="0" applyFont="1" applyFill="1" applyBorder="1" applyAlignment="1">
      <alignment vertical="top" wrapText="1"/>
    </xf>
    <xf numFmtId="0" fontId="22" fillId="16" borderId="11" xfId="37" applyFont="1" applyFill="1" applyBorder="1" applyAlignment="1">
      <alignment horizontal="center" vertical="top" wrapText="1"/>
    </xf>
    <xf numFmtId="0" fontId="22" fillId="16" borderId="11" xfId="0" applyFont="1" applyFill="1" applyBorder="1" applyAlignment="1">
      <alignment horizontal="center" vertical="top" wrapText="1"/>
    </xf>
    <xf numFmtId="4" fontId="22" fillId="16" borderId="11" xfId="0" applyNumberFormat="1" applyFont="1" applyFill="1" applyBorder="1" applyAlignment="1">
      <alignment horizontal="center" vertical="top" wrapText="1"/>
    </xf>
    <xf numFmtId="0" fontId="22" fillId="7" borderId="11" xfId="1" applyFont="1" applyFill="1" applyBorder="1" applyAlignment="1">
      <alignment horizontal="left" vertical="top" wrapText="1"/>
    </xf>
    <xf numFmtId="0" fontId="4" fillId="7" borderId="11" xfId="1" applyFont="1" applyFill="1" applyBorder="1" applyAlignment="1">
      <alignment horizontal="center" vertical="top" wrapText="1"/>
    </xf>
    <xf numFmtId="4" fontId="22" fillId="15" borderId="11" xfId="37" applyNumberFormat="1" applyFont="1" applyFill="1" applyBorder="1" applyAlignment="1">
      <alignment horizontal="center" vertical="top" wrapText="1"/>
    </xf>
    <xf numFmtId="4" fontId="22" fillId="7" borderId="11" xfId="68" applyNumberFormat="1" applyFont="1" applyFill="1" applyBorder="1" applyAlignment="1">
      <alignment horizontal="center" vertical="top" wrapText="1"/>
    </xf>
    <xf numFmtId="0" fontId="23" fillId="15" borderId="11" xfId="37" applyFont="1" applyFill="1" applyBorder="1" applyAlignment="1">
      <alignment horizontal="center" vertical="top" wrapText="1"/>
    </xf>
    <xf numFmtId="0" fontId="24" fillId="0" borderId="11" xfId="0" applyFont="1" applyFill="1" applyBorder="1" applyAlignment="1">
      <alignment horizontal="center" vertical="top" wrapText="1"/>
    </xf>
    <xf numFmtId="0" fontId="4" fillId="0" borderId="11" xfId="1" applyFont="1" applyBorder="1" applyAlignment="1">
      <alignment horizontal="left" vertical="top" wrapText="1"/>
    </xf>
    <xf numFmtId="0" fontId="4" fillId="2" borderId="11" xfId="1" applyFont="1" applyFill="1" applyBorder="1" applyAlignment="1">
      <alignment horizontal="center" vertical="top" wrapText="1"/>
    </xf>
    <xf numFmtId="4" fontId="4" fillId="8" borderId="11" xfId="37" applyNumberFormat="1" applyFont="1" applyFill="1" applyBorder="1" applyAlignment="1">
      <alignment horizontal="center" vertical="top" wrapText="1"/>
    </xf>
    <xf numFmtId="4" fontId="4" fillId="0" borderId="11" xfId="68" applyNumberFormat="1" applyFont="1" applyBorder="1" applyAlignment="1">
      <alignment horizontal="center" vertical="top" wrapText="1"/>
    </xf>
    <xf numFmtId="49" fontId="23" fillId="2" borderId="11" xfId="37" applyNumberFormat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left" vertical="top" wrapText="1"/>
    </xf>
    <xf numFmtId="49" fontId="23" fillId="0" borderId="11" xfId="37" applyNumberFormat="1" applyFont="1" applyBorder="1" applyAlignment="1">
      <alignment horizontal="center" vertical="top" wrapText="1"/>
    </xf>
    <xf numFmtId="0" fontId="4" fillId="2" borderId="11" xfId="28" applyFont="1" applyFill="1" applyBorder="1" applyAlignment="1">
      <alignment vertical="top" wrapText="1"/>
    </xf>
    <xf numFmtId="2" fontId="4" fillId="0" borderId="11" xfId="38" applyNumberFormat="1" applyFont="1" applyBorder="1" applyAlignment="1">
      <alignment horizontal="center" vertical="top" wrapText="1"/>
    </xf>
    <xf numFmtId="4" fontId="4" fillId="0" borderId="11" xfId="28" applyNumberFormat="1" applyFont="1" applyBorder="1" applyAlignment="1">
      <alignment horizontal="center" vertical="top" wrapText="1"/>
    </xf>
    <xf numFmtId="167" fontId="4" fillId="8" borderId="11" xfId="37" applyNumberFormat="1" applyFont="1" applyFill="1" applyBorder="1" applyAlignment="1">
      <alignment horizontal="center" vertical="top" wrapText="1"/>
    </xf>
    <xf numFmtId="4" fontId="4" fillId="0" borderId="11" xfId="68" applyNumberFormat="1" applyFont="1" applyFill="1" applyBorder="1" applyAlignment="1">
      <alignment horizontal="center" vertical="top" wrapText="1"/>
    </xf>
    <xf numFmtId="2" fontId="4" fillId="0" borderId="11" xfId="0" applyNumberFormat="1" applyFont="1" applyBorder="1" applyAlignment="1">
      <alignment horizontal="center" vertical="top" wrapText="1"/>
    </xf>
    <xf numFmtId="0" fontId="4" fillId="0" borderId="11" xfId="38" applyFont="1" applyBorder="1" applyAlignment="1">
      <alignment horizontal="center" vertical="top" wrapText="1"/>
    </xf>
    <xf numFmtId="4" fontId="4" fillId="15" borderId="11" xfId="37" applyNumberFormat="1" applyFont="1" applyFill="1" applyBorder="1" applyAlignment="1">
      <alignment horizontal="center" vertical="top" wrapText="1"/>
    </xf>
    <xf numFmtId="4" fontId="4" fillId="7" borderId="11" xfId="68" applyNumberFormat="1" applyFont="1" applyFill="1" applyBorder="1" applyAlignment="1">
      <alignment horizontal="center" vertical="top" wrapText="1"/>
    </xf>
    <xf numFmtId="49" fontId="23" fillId="7" borderId="11" xfId="37" applyNumberFormat="1" applyFont="1" applyFill="1" applyBorder="1" applyAlignment="1">
      <alignment horizontal="center" vertical="top" wrapText="1"/>
    </xf>
    <xf numFmtId="4" fontId="4" fillId="0" borderId="11" xfId="37" applyNumberFormat="1" applyFont="1" applyBorder="1" applyAlignment="1">
      <alignment horizontal="center" vertical="top" wrapText="1"/>
    </xf>
    <xf numFmtId="0" fontId="26" fillId="7" borderId="11" xfId="1" applyFont="1" applyFill="1" applyBorder="1" applyAlignment="1">
      <alignment horizontal="left" vertical="top" wrapText="1"/>
    </xf>
    <xf numFmtId="0" fontId="22" fillId="19" borderId="11" xfId="28" applyFont="1" applyFill="1" applyBorder="1" applyAlignment="1">
      <alignment vertical="top" wrapText="1"/>
    </xf>
    <xf numFmtId="4" fontId="4" fillId="11" borderId="11" xfId="0" applyNumberFormat="1" applyFont="1" applyFill="1" applyBorder="1" applyAlignment="1">
      <alignment horizontal="center" vertical="top" wrapText="1"/>
    </xf>
    <xf numFmtId="2" fontId="4" fillId="2" borderId="11" xfId="28" applyNumberFormat="1" applyFont="1" applyFill="1" applyBorder="1" applyAlignment="1">
      <alignment horizontal="center" vertical="top" wrapText="1"/>
    </xf>
    <xf numFmtId="1" fontId="4" fillId="2" borderId="11" xfId="28" applyNumberFormat="1" applyFont="1" applyFill="1" applyBorder="1" applyAlignment="1">
      <alignment horizontal="center" vertical="top" wrapText="1"/>
    </xf>
    <xf numFmtId="0" fontId="4" fillId="18" borderId="11" xfId="28" applyFont="1" applyFill="1" applyBorder="1" applyAlignment="1">
      <alignment vertical="top" wrapText="1"/>
    </xf>
    <xf numFmtId="0" fontId="22" fillId="7" borderId="11" xfId="28" applyFont="1" applyFill="1" applyBorder="1" applyAlignment="1">
      <alignment vertical="top" wrapText="1"/>
    </xf>
    <xf numFmtId="2" fontId="4" fillId="7" borderId="11" xfId="0" applyNumberFormat="1" applyFont="1" applyFill="1" applyBorder="1" applyAlignment="1">
      <alignment horizontal="center" vertical="top" wrapText="1"/>
    </xf>
    <xf numFmtId="0" fontId="4" fillId="15" borderId="11" xfId="37" applyFont="1" applyFill="1" applyBorder="1" applyAlignment="1">
      <alignment horizontal="center" vertical="top" wrapText="1"/>
    </xf>
    <xf numFmtId="49" fontId="23" fillId="17" borderId="11" xfId="0" applyNumberFormat="1" applyFont="1" applyFill="1" applyBorder="1" applyAlignment="1">
      <alignment horizontal="center" vertical="top" wrapText="1"/>
    </xf>
    <xf numFmtId="0" fontId="4" fillId="0" borderId="11" xfId="28" applyFont="1" applyBorder="1" applyAlignment="1">
      <alignment vertical="top" wrapText="1"/>
    </xf>
    <xf numFmtId="0" fontId="4" fillId="8" borderId="11" xfId="37" applyFont="1" applyFill="1" applyBorder="1" applyAlignment="1">
      <alignment horizontal="center" vertical="top" wrapText="1"/>
    </xf>
    <xf numFmtId="0" fontId="27" fillId="0" borderId="0" xfId="0" applyFont="1"/>
    <xf numFmtId="0" fontId="27" fillId="0" borderId="0" xfId="0" applyFont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11" xfId="0" applyFont="1" applyBorder="1" applyAlignment="1">
      <alignment vertical="center" wrapText="1"/>
    </xf>
    <xf numFmtId="2" fontId="5" fillId="0" borderId="6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64" fontId="5" fillId="14" borderId="6" xfId="0" applyNumberFormat="1" applyFont="1" applyFill="1" applyBorder="1"/>
    <xf numFmtId="0" fontId="5" fillId="0" borderId="6" xfId="0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5" fillId="0" borderId="6" xfId="0" applyFont="1" applyBorder="1"/>
    <xf numFmtId="0" fontId="27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0" fontId="27" fillId="0" borderId="6" xfId="0" applyFont="1" applyBorder="1" applyAlignment="1">
      <alignment vertical="center" wrapText="1"/>
    </xf>
    <xf numFmtId="164" fontId="5" fillId="0" borderId="6" xfId="68" applyFont="1" applyBorder="1" applyAlignment="1">
      <alignment horizontal="center" vertical="center"/>
    </xf>
    <xf numFmtId="164" fontId="5" fillId="0" borderId="6" xfId="68" applyFont="1" applyFill="1" applyBorder="1"/>
    <xf numFmtId="2" fontId="27" fillId="14" borderId="6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0" fontId="27" fillId="14" borderId="0" xfId="0" applyFont="1" applyFill="1"/>
    <xf numFmtId="0" fontId="22" fillId="7" borderId="11" xfId="1" applyFont="1" applyFill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0" xfId="0" applyFont="1" applyAlignment="1">
      <alignment vertical="top"/>
    </xf>
    <xf numFmtId="4" fontId="22" fillId="0" borderId="11" xfId="37" applyNumberFormat="1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1" xfId="1" applyFont="1" applyFill="1" applyBorder="1" applyAlignment="1">
      <alignment horizontal="left" vertical="top" wrapText="1"/>
    </xf>
    <xf numFmtId="0" fontId="4" fillId="0" borderId="11" xfId="1" applyFont="1" applyFill="1" applyBorder="1" applyAlignment="1">
      <alignment horizontal="center" vertical="top" wrapText="1"/>
    </xf>
    <xf numFmtId="4" fontId="4" fillId="0" borderId="11" xfId="37" applyNumberFormat="1" applyFont="1" applyFill="1" applyBorder="1" applyAlignment="1">
      <alignment horizontal="center" vertical="top" wrapText="1"/>
    </xf>
    <xf numFmtId="49" fontId="23" fillId="0" borderId="11" xfId="37" applyNumberFormat="1" applyFont="1" applyFill="1" applyBorder="1" applyAlignment="1">
      <alignment horizontal="center" vertical="top" wrapText="1"/>
    </xf>
    <xf numFmtId="2" fontId="4" fillId="0" borderId="0" xfId="0" applyNumberFormat="1" applyFont="1" applyFill="1" applyAlignment="1">
      <alignment vertical="top" wrapText="1"/>
    </xf>
    <xf numFmtId="0" fontId="27" fillId="0" borderId="0" xfId="0" applyFont="1" applyFill="1"/>
    <xf numFmtId="0" fontId="27" fillId="0" borderId="0" xfId="0" applyFont="1" applyFill="1" applyAlignment="1">
      <alignment vertical="top"/>
    </xf>
    <xf numFmtId="4" fontId="22" fillId="21" borderId="11" xfId="68" applyNumberFormat="1" applyFont="1" applyFill="1" applyBorder="1" applyAlignment="1">
      <alignment horizontal="center" vertical="top" wrapText="1"/>
    </xf>
    <xf numFmtId="4" fontId="4" fillId="21" borderId="11" xfId="68" applyNumberFormat="1" applyFont="1" applyFill="1" applyBorder="1" applyAlignment="1">
      <alignment horizontal="center" vertical="top" wrapText="1"/>
    </xf>
    <xf numFmtId="0" fontId="4" fillId="0" borderId="13" xfId="0" applyFont="1" applyBorder="1"/>
    <xf numFmtId="0" fontId="22" fillId="10" borderId="11" xfId="0" quotePrefix="1" applyFont="1" applyFill="1" applyBorder="1" applyAlignment="1">
      <alignment vertical="center"/>
    </xf>
    <xf numFmtId="164" fontId="22" fillId="10" borderId="11" xfId="0" applyNumberFormat="1" applyFont="1" applyFill="1" applyBorder="1" applyAlignment="1">
      <alignment horizontal="right" vertical="center"/>
    </xf>
    <xf numFmtId="4" fontId="22" fillId="0" borderId="11" xfId="45" applyNumberFormat="1" applyFont="1" applyBorder="1" applyAlignment="1">
      <alignment horizontal="right" vertical="center"/>
    </xf>
    <xf numFmtId="0" fontId="28" fillId="0" borderId="0" xfId="0" applyFont="1"/>
    <xf numFmtId="0" fontId="23" fillId="22" borderId="14" xfId="45" applyFont="1" applyFill="1" applyBorder="1" applyAlignment="1">
      <alignment horizontal="center" vertical="center"/>
    </xf>
    <xf numFmtId="49" fontId="29" fillId="22" borderId="11" xfId="45" applyNumberFormat="1" applyFont="1" applyFill="1" applyBorder="1" applyAlignment="1">
      <alignment vertical="center"/>
    </xf>
    <xf numFmtId="4" fontId="23" fillId="22" borderId="11" xfId="40" applyNumberFormat="1" applyFont="1" applyFill="1" applyBorder="1" applyAlignment="1">
      <alignment horizontal="center" vertical="center" wrapText="1"/>
    </xf>
    <xf numFmtId="0" fontId="23" fillId="22" borderId="11" xfId="40" applyFont="1" applyFill="1" applyBorder="1" applyAlignment="1">
      <alignment horizontal="center" vertical="center" wrapText="1"/>
    </xf>
    <xf numFmtId="4" fontId="23" fillId="22" borderId="11" xfId="30" applyNumberFormat="1" applyFont="1" applyFill="1" applyBorder="1" applyAlignment="1">
      <alignment horizontal="center" vertical="center"/>
    </xf>
    <xf numFmtId="4" fontId="22" fillId="22" borderId="11" xfId="45" applyNumberFormat="1" applyFont="1" applyFill="1" applyBorder="1" applyAlignment="1">
      <alignment horizontal="right" vertical="center"/>
    </xf>
    <xf numFmtId="4" fontId="4" fillId="22" borderId="11" xfId="45" applyNumberFormat="1" applyFont="1" applyFill="1" applyBorder="1" applyAlignment="1">
      <alignment horizontal="right" vertical="center"/>
    </xf>
    <xf numFmtId="0" fontId="23" fillId="22" borderId="13" xfId="45" applyFont="1" applyFill="1" applyBorder="1" applyAlignment="1">
      <alignment horizontal="center" vertical="center" wrapText="1"/>
    </xf>
    <xf numFmtId="0" fontId="23" fillId="0" borderId="14" xfId="45" applyFont="1" applyBorder="1" applyAlignment="1">
      <alignment horizontal="center" vertical="center"/>
    </xf>
    <xf numFmtId="0" fontId="29" fillId="0" borderId="11" xfId="40" applyFont="1" applyBorder="1" applyAlignment="1">
      <alignment vertical="center" wrapText="1"/>
    </xf>
    <xf numFmtId="4" fontId="23" fillId="0" borderId="11" xfId="40" applyNumberFormat="1" applyFont="1" applyBorder="1" applyAlignment="1">
      <alignment horizontal="center" vertical="center" wrapText="1"/>
    </xf>
    <xf numFmtId="0" fontId="23" fillId="0" borderId="11" xfId="40" applyFont="1" applyBorder="1" applyAlignment="1">
      <alignment horizontal="center" vertical="center" wrapText="1"/>
    </xf>
    <xf numFmtId="4" fontId="23" fillId="0" borderId="11" xfId="30" applyNumberFormat="1" applyFont="1" applyBorder="1" applyAlignment="1">
      <alignment horizontal="center" vertical="center"/>
    </xf>
    <xf numFmtId="4" fontId="4" fillId="0" borderId="11" xfId="45" applyNumberFormat="1" applyFont="1" applyBorder="1" applyAlignment="1">
      <alignment horizontal="right" vertical="center"/>
    </xf>
    <xf numFmtId="0" fontId="23" fillId="0" borderId="13" xfId="45" applyFont="1" applyBorder="1" applyAlignment="1">
      <alignment horizontal="center" vertical="center" wrapText="1"/>
    </xf>
    <xf numFmtId="0" fontId="23" fillId="0" borderId="11" xfId="40" applyFont="1" applyBorder="1" applyAlignment="1">
      <alignment vertical="center" wrapText="1"/>
    </xf>
    <xf numFmtId="4" fontId="23" fillId="2" borderId="11" xfId="30" applyNumberFormat="1" applyFont="1" applyFill="1" applyBorder="1" applyAlignment="1">
      <alignment horizontal="center" vertical="center"/>
    </xf>
    <xf numFmtId="0" fontId="4" fillId="11" borderId="0" xfId="0" applyFont="1" applyFill="1" applyAlignment="1">
      <alignment horizontal="left" vertical="center" wrapText="1"/>
    </xf>
    <xf numFmtId="0" fontId="22" fillId="2" borderId="0" xfId="0" quotePrefix="1" applyFont="1" applyFill="1" applyAlignment="1">
      <alignment horizontal="left" vertical="top"/>
    </xf>
    <xf numFmtId="49" fontId="4" fillId="11" borderId="0" xfId="0" applyNumberFormat="1" applyFont="1" applyFill="1" applyAlignment="1">
      <alignment horizontal="center" vertical="center"/>
    </xf>
    <xf numFmtId="0" fontId="4" fillId="11" borderId="0" xfId="0" applyFont="1" applyFill="1" applyAlignment="1">
      <alignment vertical="center"/>
    </xf>
    <xf numFmtId="14" fontId="4" fillId="11" borderId="0" xfId="0" applyNumberFormat="1" applyFont="1" applyFill="1" applyAlignment="1">
      <alignment vertical="center"/>
    </xf>
    <xf numFmtId="0" fontId="24" fillId="0" borderId="8" xfId="0" applyFont="1" applyBorder="1" applyAlignment="1">
      <alignment horizontal="left" vertical="top" wrapText="1"/>
    </xf>
    <xf numFmtId="0" fontId="24" fillId="0" borderId="9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left" vertical="top"/>
    </xf>
    <xf numFmtId="0" fontId="24" fillId="0" borderId="9" xfId="0" applyFont="1" applyBorder="1" applyAlignment="1">
      <alignment horizontal="left" vertical="top"/>
    </xf>
    <xf numFmtId="0" fontId="24" fillId="0" borderId="10" xfId="0" applyFont="1" applyBorder="1" applyAlignment="1">
      <alignment horizontal="left" vertical="top"/>
    </xf>
    <xf numFmtId="0" fontId="24" fillId="0" borderId="8" xfId="30" applyFont="1" applyBorder="1" applyAlignment="1">
      <alignment horizontal="center" vertical="center"/>
    </xf>
    <xf numFmtId="0" fontId="24" fillId="0" borderId="9" xfId="30" applyFont="1" applyBorder="1" applyAlignment="1">
      <alignment horizontal="center" vertical="center"/>
    </xf>
    <xf numFmtId="0" fontId="24" fillId="0" borderId="10" xfId="30" applyFont="1" applyBorder="1" applyAlignment="1">
      <alignment horizontal="center" vertical="center"/>
    </xf>
    <xf numFmtId="0" fontId="22" fillId="10" borderId="12" xfId="0" quotePrefix="1" applyFont="1" applyFill="1" applyBorder="1" applyAlignment="1">
      <alignment horizontal="center" vertical="center"/>
    </xf>
    <xf numFmtId="0" fontId="22" fillId="10" borderId="9" xfId="0" quotePrefix="1" applyFont="1" applyFill="1" applyBorder="1" applyAlignment="1">
      <alignment horizontal="center" vertical="center"/>
    </xf>
    <xf numFmtId="0" fontId="22" fillId="10" borderId="10" xfId="0" quotePrefix="1" applyFont="1" applyFill="1" applyBorder="1" applyAlignment="1">
      <alignment horizontal="center" vertical="center"/>
    </xf>
    <xf numFmtId="0" fontId="24" fillId="14" borderId="8" xfId="0" applyFont="1" applyFill="1" applyBorder="1" applyAlignment="1">
      <alignment horizontal="center" vertical="center"/>
    </xf>
    <xf numFmtId="0" fontId="24" fillId="14" borderId="9" xfId="0" applyFont="1" applyFill="1" applyBorder="1" applyAlignment="1">
      <alignment horizontal="center" vertical="center"/>
    </xf>
    <xf numFmtId="0" fontId="24" fillId="14" borderId="10" xfId="0" applyFont="1" applyFill="1" applyBorder="1" applyAlignment="1">
      <alignment horizontal="center" vertical="center"/>
    </xf>
    <xf numFmtId="49" fontId="22" fillId="0" borderId="0" xfId="37" applyNumberFormat="1" applyFont="1" applyAlignment="1">
      <alignment horizontal="center" vertical="top" wrapText="1"/>
    </xf>
    <xf numFmtId="49" fontId="4" fillId="0" borderId="0" xfId="37" applyNumberFormat="1" applyFont="1" applyBorder="1" applyAlignment="1">
      <alignment horizontal="center" vertical="top" wrapText="1"/>
    </xf>
    <xf numFmtId="49" fontId="22" fillId="0" borderId="11" xfId="37" applyNumberFormat="1" applyFont="1" applyBorder="1" applyAlignment="1">
      <alignment horizontal="center" vertical="top" wrapText="1"/>
    </xf>
    <xf numFmtId="4" fontId="22" fillId="0" borderId="11" xfId="37" applyNumberFormat="1" applyFont="1" applyBorder="1" applyAlignment="1">
      <alignment horizontal="center" vertical="top" wrapText="1"/>
    </xf>
    <xf numFmtId="4" fontId="22" fillId="0" borderId="11" xfId="68" applyNumberFormat="1" applyFont="1" applyBorder="1" applyAlignment="1">
      <alignment horizontal="center" vertical="top" wrapText="1"/>
    </xf>
    <xf numFmtId="0" fontId="24" fillId="0" borderId="11" xfId="30" applyFont="1" applyBorder="1" applyAlignment="1">
      <alignment horizontal="left" vertical="top"/>
    </xf>
    <xf numFmtId="0" fontId="26" fillId="14" borderId="8" xfId="0" applyFont="1" applyFill="1" applyBorder="1" applyAlignment="1">
      <alignment horizontal="left" vertical="top"/>
    </xf>
    <xf numFmtId="0" fontId="26" fillId="14" borderId="9" xfId="0" applyFont="1" applyFill="1" applyBorder="1" applyAlignment="1">
      <alignment horizontal="left" vertical="top"/>
    </xf>
    <xf numFmtId="0" fontId="26" fillId="14" borderId="10" xfId="0" applyFont="1" applyFill="1" applyBorder="1" applyAlignment="1">
      <alignment horizontal="left" vertical="top"/>
    </xf>
    <xf numFmtId="0" fontId="27" fillId="20" borderId="7" xfId="0" applyFont="1" applyFill="1" applyBorder="1" applyAlignment="1">
      <alignment horizontal="center" vertical="center" wrapText="1"/>
    </xf>
    <xf numFmtId="0" fontId="27" fillId="20" borderId="5" xfId="0" applyFont="1" applyFill="1" applyBorder="1" applyAlignment="1">
      <alignment horizontal="center" vertical="center" wrapText="1"/>
    </xf>
    <xf numFmtId="0" fontId="27" fillId="20" borderId="3" xfId="0" applyFont="1" applyFill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</cellXfs>
  <cellStyles count="70">
    <cellStyle name="Excel Built-in Bad" xfId="43" xr:uid="{00000000-0005-0000-0000-000000000000}"/>
    <cellStyle name="Excel Built-in Good" xfId="44" xr:uid="{00000000-0005-0000-0000-000001000000}"/>
    <cellStyle name="Excel Built-in Neutral" xfId="42" xr:uid="{00000000-0005-0000-0000-000002000000}"/>
    <cellStyle name="Excel Built-in Neutral 2" xfId="59" xr:uid="{00000000-0005-0000-0000-000003000000}"/>
    <cellStyle name="Excel Built-in Neutral 3" xfId="58" xr:uid="{00000000-0005-0000-0000-000004000000}"/>
    <cellStyle name="Excel Built-in Neutral 4" xfId="57" xr:uid="{00000000-0005-0000-0000-000005000000}"/>
    <cellStyle name="Excel Built-in Normal" xfId="28" xr:uid="{00000000-0005-0000-0000-000006000000}"/>
    <cellStyle name="Excel Built-in Output" xfId="41" xr:uid="{00000000-0005-0000-0000-000007000000}"/>
    <cellStyle name="Excel Built-in Output 2" xfId="61" xr:uid="{00000000-0005-0000-0000-000008000000}"/>
    <cellStyle name="Excel Built-in Output 3" xfId="60" xr:uid="{00000000-0005-0000-0000-000009000000}"/>
    <cellStyle name="Excel Built-in Output 4" xfId="56" xr:uid="{00000000-0005-0000-0000-00000A000000}"/>
    <cellStyle name="Акт" xfId="2" xr:uid="{00000000-0005-0000-0000-00000B000000}"/>
    <cellStyle name="Акт 2" xfId="46" xr:uid="{00000000-0005-0000-0000-00000C000000}"/>
    <cellStyle name="АктМТСН" xfId="3" xr:uid="{00000000-0005-0000-0000-00000D000000}"/>
    <cellStyle name="ВедРесурсов" xfId="4" xr:uid="{00000000-0005-0000-0000-00000E000000}"/>
    <cellStyle name="ВедРесурсов 2" xfId="47" xr:uid="{00000000-0005-0000-0000-00000F000000}"/>
    <cellStyle name="ВедРесурсовАкт" xfId="5" xr:uid="{00000000-0005-0000-0000-000010000000}"/>
    <cellStyle name="Гиперссылка" xfId="69" builtinId="8"/>
    <cellStyle name="Итоги" xfId="6" xr:uid="{00000000-0005-0000-0000-000011000000}"/>
    <cellStyle name="ИтогоАктБазЦ" xfId="7" xr:uid="{00000000-0005-0000-0000-000012000000}"/>
    <cellStyle name="ИтогоАктТекЦ" xfId="8" xr:uid="{00000000-0005-0000-0000-000013000000}"/>
    <cellStyle name="ИтогоБазЦ" xfId="9" xr:uid="{00000000-0005-0000-0000-000014000000}"/>
    <cellStyle name="ИтогоБИМ" xfId="10" xr:uid="{00000000-0005-0000-0000-000015000000}"/>
    <cellStyle name="ИтогоТекЦ" xfId="11" xr:uid="{00000000-0005-0000-0000-000016000000}"/>
    <cellStyle name="ЛокСмета" xfId="12" xr:uid="{00000000-0005-0000-0000-000017000000}"/>
    <cellStyle name="ЛокСмета 2" xfId="13" xr:uid="{00000000-0005-0000-0000-000018000000}"/>
    <cellStyle name="ЛокСмета 2 2" xfId="49" xr:uid="{00000000-0005-0000-0000-000019000000}"/>
    <cellStyle name="ЛокСмета 3" xfId="48" xr:uid="{00000000-0005-0000-0000-00001A000000}"/>
    <cellStyle name="ЛокСмМТСН" xfId="14" xr:uid="{00000000-0005-0000-0000-00001B000000}"/>
    <cellStyle name="Обычный" xfId="0" builtinId="0"/>
    <cellStyle name="Обычный 2" xfId="23" xr:uid="{00000000-0005-0000-0000-00001D000000}"/>
    <cellStyle name="Обычный 2 10 27 3 2 2" xfId="37" xr:uid="{00000000-0005-0000-0000-00001E000000}"/>
    <cellStyle name="Обычный 2 2" xfId="30" xr:uid="{00000000-0005-0000-0000-00001F000000}"/>
    <cellStyle name="Обычный 2 3" xfId="27" xr:uid="{00000000-0005-0000-0000-000020000000}"/>
    <cellStyle name="Обычный 2 99 7" xfId="38" xr:uid="{00000000-0005-0000-0000-000021000000}"/>
    <cellStyle name="Обычный 3" xfId="22" xr:uid="{00000000-0005-0000-0000-000022000000}"/>
    <cellStyle name="Обычный 3 2" xfId="40" xr:uid="{00000000-0005-0000-0000-000023000000}"/>
    <cellStyle name="Обычный 3 3" xfId="39" xr:uid="{00000000-0005-0000-0000-000024000000}"/>
    <cellStyle name="Обычный 4" xfId="1" xr:uid="{00000000-0005-0000-0000-000025000000}"/>
    <cellStyle name="Обычный 4 2" xfId="29" xr:uid="{00000000-0005-0000-0000-000026000000}"/>
    <cellStyle name="Обычный 4 2 2" xfId="54" xr:uid="{00000000-0005-0000-0000-000027000000}"/>
    <cellStyle name="Обычный 4 2 3" xfId="64" xr:uid="{00000000-0005-0000-0000-000028000000}"/>
    <cellStyle name="Обычный 4 3" xfId="36" xr:uid="{00000000-0005-0000-0000-000029000000}"/>
    <cellStyle name="Обычный 4 4" xfId="45" xr:uid="{00000000-0005-0000-0000-00002A000000}"/>
    <cellStyle name="Обычный 5" xfId="34" xr:uid="{00000000-0005-0000-0000-00002B000000}"/>
    <cellStyle name="Обычный 6" xfId="24" xr:uid="{00000000-0005-0000-0000-00002C000000}"/>
    <cellStyle name="Обычный 7" xfId="35" xr:uid="{00000000-0005-0000-0000-00002D000000}"/>
    <cellStyle name="Параметр" xfId="15" xr:uid="{00000000-0005-0000-0000-00002E000000}"/>
    <cellStyle name="ПеременныеСметы" xfId="16" xr:uid="{00000000-0005-0000-0000-00002F000000}"/>
    <cellStyle name="ПеременныеСметы 2" xfId="50" xr:uid="{00000000-0005-0000-0000-000030000000}"/>
    <cellStyle name="РесСмета" xfId="17" xr:uid="{00000000-0005-0000-0000-000031000000}"/>
    <cellStyle name="РесСмета 2" xfId="51" xr:uid="{00000000-0005-0000-0000-000032000000}"/>
    <cellStyle name="СводкаСтоимРаб" xfId="18" xr:uid="{00000000-0005-0000-0000-000033000000}"/>
    <cellStyle name="СводкаСтоимРаб 2" xfId="52" xr:uid="{00000000-0005-0000-0000-000034000000}"/>
    <cellStyle name="Титул" xfId="19" xr:uid="{00000000-0005-0000-0000-000035000000}"/>
    <cellStyle name="Титул 2" xfId="53" xr:uid="{00000000-0005-0000-0000-000036000000}"/>
    <cellStyle name="Финансовый" xfId="68" builtinId="3"/>
    <cellStyle name="Финансовый 2" xfId="25" xr:uid="{00000000-0005-0000-0000-000038000000}"/>
    <cellStyle name="Финансовый 2 2" xfId="32" xr:uid="{00000000-0005-0000-0000-000039000000}"/>
    <cellStyle name="Финансовый 2 3" xfId="63" xr:uid="{00000000-0005-0000-0000-00003A000000}"/>
    <cellStyle name="Финансовый 2 3 2" xfId="67" xr:uid="{00000000-0005-0000-0000-00003B000000}"/>
    <cellStyle name="Финансовый 3" xfId="31" xr:uid="{00000000-0005-0000-0000-00003C000000}"/>
    <cellStyle name="Финансовый 3 2" xfId="62" xr:uid="{00000000-0005-0000-0000-00003D000000}"/>
    <cellStyle name="Финансовый 3 2 2" xfId="66" xr:uid="{00000000-0005-0000-0000-00003E000000}"/>
    <cellStyle name="Финансовый 3 3" xfId="55" xr:uid="{00000000-0005-0000-0000-00003F000000}"/>
    <cellStyle name="Финансовый 3 4" xfId="65" xr:uid="{00000000-0005-0000-0000-000040000000}"/>
    <cellStyle name="Финансовый 4" xfId="33" xr:uid="{00000000-0005-0000-0000-000041000000}"/>
    <cellStyle name="Хвост" xfId="20" xr:uid="{00000000-0005-0000-0000-000042000000}"/>
    <cellStyle name="Экспертиза" xfId="21" xr:uid="{00000000-0005-0000-0000-000043000000}"/>
    <cellStyle name="㼿㼿㼿㼿㼿㼿㼿㼿㼿㼿㼿㼿㼿㼿" xfId="26" xr:uid="{00000000-0005-0000-0000-00004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08CA4-A0F2-4BAB-AD12-DC62BA92BF95}">
  <dimension ref="A1:N690"/>
  <sheetViews>
    <sheetView tabSelected="1" workbookViewId="0">
      <pane ySplit="7" topLeftCell="A667" activePane="bottomLeft" state="frozen"/>
      <selection pane="bottomLeft" activeCell="I670" sqref="I670"/>
    </sheetView>
  </sheetViews>
  <sheetFormatPr defaultColWidth="9.140625" defaultRowHeight="12.75" x14ac:dyDescent="0.25"/>
  <cols>
    <col min="1" max="1" width="5.5703125" style="2" customWidth="1"/>
    <col min="2" max="2" width="42.5703125" style="2" customWidth="1"/>
    <col min="3" max="3" width="5" style="2" customWidth="1"/>
    <col min="4" max="4" width="5.5703125" style="7" customWidth="1"/>
    <col min="5" max="5" width="8.5703125" style="8" customWidth="1"/>
    <col min="6" max="6" width="9.7109375" style="7" customWidth="1"/>
    <col min="7" max="8" width="10.5703125" style="7" customWidth="1"/>
    <col min="9" max="9" width="12.28515625" style="7" customWidth="1"/>
    <col min="10" max="10" width="10.42578125" style="7" customWidth="1"/>
    <col min="11" max="11" width="11.140625" style="7" customWidth="1"/>
    <col min="12" max="12" width="14" style="9" customWidth="1"/>
    <col min="13" max="13" width="45.28515625" style="2" customWidth="1"/>
    <col min="14" max="14" width="32.85546875" style="2" customWidth="1"/>
    <col min="15" max="15" width="9.140625" style="2"/>
    <col min="16" max="16" width="12.28515625" style="2" bestFit="1" customWidth="1"/>
    <col min="17" max="16384" width="9.140625" style="2"/>
  </cols>
  <sheetData>
    <row r="1" spans="1:14" x14ac:dyDescent="0.25">
      <c r="A1" s="139" t="s">
        <v>132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</row>
    <row r="2" spans="1:14" x14ac:dyDescent="0.25">
      <c r="A2" s="139" t="s">
        <v>19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</row>
    <row r="3" spans="1:14" x14ac:dyDescent="0.25">
      <c r="A3" s="140" t="s">
        <v>172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</row>
    <row r="4" spans="1:14" ht="16.5" customHeight="1" x14ac:dyDescent="0.25">
      <c r="A4" s="141" t="s">
        <v>45</v>
      </c>
      <c r="B4" s="141" t="s">
        <v>133</v>
      </c>
      <c r="C4" s="141" t="s">
        <v>34</v>
      </c>
      <c r="D4" s="142" t="s">
        <v>4</v>
      </c>
      <c r="E4" s="143" t="s">
        <v>5</v>
      </c>
      <c r="F4" s="142" t="s">
        <v>222</v>
      </c>
      <c r="G4" s="142"/>
      <c r="H4" s="142"/>
      <c r="I4" s="142" t="s">
        <v>223</v>
      </c>
      <c r="J4" s="142"/>
      <c r="K4" s="142"/>
      <c r="L4" s="141" t="s">
        <v>6</v>
      </c>
    </row>
    <row r="5" spans="1:14" x14ac:dyDescent="0.25">
      <c r="A5" s="141"/>
      <c r="B5" s="141"/>
      <c r="C5" s="141"/>
      <c r="D5" s="142"/>
      <c r="E5" s="143"/>
      <c r="F5" s="142" t="s">
        <v>7</v>
      </c>
      <c r="G5" s="142" t="s">
        <v>8</v>
      </c>
      <c r="H5" s="142"/>
      <c r="I5" s="142" t="s">
        <v>7</v>
      </c>
      <c r="J5" s="142" t="s">
        <v>8</v>
      </c>
      <c r="K5" s="142"/>
      <c r="L5" s="141"/>
    </row>
    <row r="6" spans="1:14" ht="25.5" x14ac:dyDescent="0.25">
      <c r="A6" s="141"/>
      <c r="B6" s="141"/>
      <c r="C6" s="141"/>
      <c r="D6" s="142"/>
      <c r="E6" s="143"/>
      <c r="F6" s="142"/>
      <c r="G6" s="79" t="s">
        <v>9</v>
      </c>
      <c r="H6" s="79" t="s">
        <v>10</v>
      </c>
      <c r="I6" s="142"/>
      <c r="J6" s="79" t="s">
        <v>9</v>
      </c>
      <c r="K6" s="79" t="s">
        <v>10</v>
      </c>
      <c r="L6" s="141"/>
    </row>
    <row r="7" spans="1:14" s="3" customFormat="1" x14ac:dyDescent="0.25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0">
        <v>9</v>
      </c>
      <c r="J7" s="10">
        <v>10</v>
      </c>
      <c r="K7" s="10">
        <v>11</v>
      </c>
      <c r="L7" s="10">
        <v>12</v>
      </c>
    </row>
    <row r="8" spans="1:14" x14ac:dyDescent="0.25">
      <c r="A8" s="11"/>
      <c r="B8" s="12" t="s">
        <v>65</v>
      </c>
      <c r="C8" s="12"/>
      <c r="D8" s="13"/>
      <c r="E8" s="13"/>
      <c r="F8" s="13"/>
      <c r="G8" s="13"/>
      <c r="H8" s="13"/>
      <c r="I8" s="13"/>
      <c r="J8" s="13"/>
      <c r="K8" s="13"/>
      <c r="L8" s="13"/>
    </row>
    <row r="9" spans="1:14" s="5" customFormat="1" x14ac:dyDescent="0.25">
      <c r="A9" s="14"/>
      <c r="B9" s="15" t="s">
        <v>115</v>
      </c>
      <c r="C9" s="16"/>
      <c r="D9" s="17"/>
      <c r="E9" s="17"/>
      <c r="F9" s="17"/>
      <c r="G9" s="17"/>
      <c r="H9" s="17"/>
      <c r="I9" s="17"/>
      <c r="J9" s="17"/>
      <c r="K9" s="17"/>
      <c r="L9" s="16"/>
    </row>
    <row r="10" spans="1:14" ht="25.5" x14ac:dyDescent="0.25">
      <c r="A10" s="1" t="str">
        <f>IF(TRIM(E10)&lt;&gt;"",COUNTA($E10:E$10)&amp;"","")</f>
        <v>1</v>
      </c>
      <c r="B10" s="18" t="s">
        <v>50</v>
      </c>
      <c r="C10" s="19" t="s">
        <v>1</v>
      </c>
      <c r="D10" s="20"/>
      <c r="E10" s="21">
        <f>Расчет!E4+Расчет!E5+0.35*E28</f>
        <v>640.49</v>
      </c>
      <c r="F10" s="21">
        <f>G10+H10</f>
        <v>0</v>
      </c>
      <c r="G10" s="89"/>
      <c r="H10" s="21"/>
      <c r="I10" s="21">
        <f>J10+K10</f>
        <v>0</v>
      </c>
      <c r="J10" s="39">
        <f>ROUND(G10*E10,2)</f>
        <v>0</v>
      </c>
      <c r="K10" s="21"/>
      <c r="L10" s="22"/>
      <c r="N10" s="4"/>
    </row>
    <row r="11" spans="1:14" ht="25.5" x14ac:dyDescent="0.25">
      <c r="A11" s="23" t="str">
        <f>IF(TRIM(E11)&lt;&gt;"",COUNTA($E$10:E11)&amp;"","")</f>
        <v>2</v>
      </c>
      <c r="B11" s="24" t="s">
        <v>75</v>
      </c>
      <c r="C11" s="25" t="s">
        <v>20</v>
      </c>
      <c r="D11" s="26">
        <v>0.35</v>
      </c>
      <c r="E11" s="27">
        <f>E10*D11</f>
        <v>224.17149999999998</v>
      </c>
      <c r="F11" s="27">
        <f t="shared" ref="F11" si="0">G11+H11</f>
        <v>0</v>
      </c>
      <c r="G11" s="27"/>
      <c r="H11" s="90"/>
      <c r="I11" s="27">
        <f t="shared" ref="I11" si="1">J11+K11</f>
        <v>0</v>
      </c>
      <c r="J11" s="27"/>
      <c r="K11" s="27">
        <f>ROUND(H11*E11,2)</f>
        <v>0</v>
      </c>
      <c r="L11" s="28" t="s">
        <v>11</v>
      </c>
      <c r="N11" s="4"/>
    </row>
    <row r="12" spans="1:14" ht="25.5" x14ac:dyDescent="0.25">
      <c r="A12" s="23" t="str">
        <f>IF(TRIM(E12)&lt;&gt;"",COUNTA($E$10:E12)&amp;"","")</f>
        <v>3</v>
      </c>
      <c r="B12" s="18" t="s">
        <v>116</v>
      </c>
      <c r="C12" s="19" t="s">
        <v>1</v>
      </c>
      <c r="D12" s="20"/>
      <c r="E12" s="21">
        <f>E10</f>
        <v>640.49</v>
      </c>
      <c r="F12" s="21">
        <f>G12+H12</f>
        <v>0</v>
      </c>
      <c r="G12" s="89"/>
      <c r="H12" s="21"/>
      <c r="I12" s="21">
        <f>J12+K12</f>
        <v>0</v>
      </c>
      <c r="J12" s="39">
        <f>ROUND(G12*E12,2)</f>
        <v>0</v>
      </c>
      <c r="K12" s="21"/>
      <c r="L12" s="22"/>
      <c r="N12" s="4"/>
    </row>
    <row r="13" spans="1:14" ht="25.5" x14ac:dyDescent="0.25">
      <c r="A13" s="23" t="str">
        <f>IF(TRIM(E13)&lt;&gt;"",COUNTA($E$10:E13)&amp;"","")</f>
        <v>4</v>
      </c>
      <c r="B13" s="29" t="s">
        <v>76</v>
      </c>
      <c r="C13" s="25" t="s">
        <v>1</v>
      </c>
      <c r="D13" s="26">
        <v>1.1499999999999999</v>
      </c>
      <c r="E13" s="27">
        <f>E12*D13</f>
        <v>736.56349999999998</v>
      </c>
      <c r="F13" s="27">
        <f t="shared" ref="F13:F14" si="2">G13+H13</f>
        <v>0</v>
      </c>
      <c r="G13" s="27"/>
      <c r="H13" s="90"/>
      <c r="I13" s="27">
        <f t="shared" ref="I13:I14" si="3">J13+K13</f>
        <v>0</v>
      </c>
      <c r="J13" s="27"/>
      <c r="K13" s="27">
        <f t="shared" ref="K13:K14" si="4">ROUND(H13*E13,2)</f>
        <v>0</v>
      </c>
      <c r="L13" s="30" t="s">
        <v>11</v>
      </c>
      <c r="N13" s="4"/>
    </row>
    <row r="14" spans="1:14" ht="25.5" x14ac:dyDescent="0.25">
      <c r="A14" s="23" t="str">
        <f>IF(TRIM(E14)&lt;&gt;"",COUNTA($E$10:E14)&amp;"","")</f>
        <v>5</v>
      </c>
      <c r="B14" s="31" t="s">
        <v>117</v>
      </c>
      <c r="C14" s="32" t="s">
        <v>3</v>
      </c>
      <c r="D14" s="33">
        <v>0.3</v>
      </c>
      <c r="E14" s="27">
        <f>E12*D14</f>
        <v>192.14699999999999</v>
      </c>
      <c r="F14" s="27">
        <f t="shared" si="2"/>
        <v>0</v>
      </c>
      <c r="G14" s="27"/>
      <c r="H14" s="90"/>
      <c r="I14" s="27">
        <f t="shared" si="3"/>
        <v>0</v>
      </c>
      <c r="J14" s="27"/>
      <c r="K14" s="27">
        <f t="shared" si="4"/>
        <v>0</v>
      </c>
      <c r="L14" s="30" t="s">
        <v>11</v>
      </c>
      <c r="N14" s="4"/>
    </row>
    <row r="15" spans="1:14" x14ac:dyDescent="0.25">
      <c r="A15" s="23" t="str">
        <f>IF(TRIM(E15)&lt;&gt;"",COUNTA($E$10:E15)&amp;"","")</f>
        <v>6</v>
      </c>
      <c r="B15" s="18" t="s">
        <v>47</v>
      </c>
      <c r="C15" s="19" t="s">
        <v>1</v>
      </c>
      <c r="D15" s="20"/>
      <c r="E15" s="21">
        <f>Расчет!E4+Расчет!E5</f>
        <v>551.94000000000005</v>
      </c>
      <c r="F15" s="21">
        <f>G15+H15</f>
        <v>0</v>
      </c>
      <c r="G15" s="89"/>
      <c r="H15" s="21"/>
      <c r="I15" s="21">
        <f>J15+K15</f>
        <v>0</v>
      </c>
      <c r="J15" s="39">
        <f>ROUND(G15*E15,2)</f>
        <v>0</v>
      </c>
      <c r="K15" s="21"/>
      <c r="L15" s="22"/>
      <c r="N15" s="4"/>
    </row>
    <row r="16" spans="1:14" ht="25.5" x14ac:dyDescent="0.25">
      <c r="A16" s="23" t="str">
        <f>IF(TRIM(E16)&lt;&gt;"",COUNTA($E$10:E16)&amp;"","")</f>
        <v>7</v>
      </c>
      <c r="B16" s="29" t="s">
        <v>72</v>
      </c>
      <c r="C16" s="25" t="s">
        <v>22</v>
      </c>
      <c r="D16" s="26">
        <v>1.1000000000000001</v>
      </c>
      <c r="E16" s="27">
        <f>E15*0.1*D16</f>
        <v>60.713400000000014</v>
      </c>
      <c r="F16" s="27">
        <f t="shared" ref="F16" si="5">G16+H16</f>
        <v>0</v>
      </c>
      <c r="G16" s="27"/>
      <c r="H16" s="90"/>
      <c r="I16" s="27">
        <f t="shared" ref="I16" si="6">J16+K16</f>
        <v>0</v>
      </c>
      <c r="J16" s="27"/>
      <c r="K16" s="27">
        <f>ROUND(H16*E16,2)</f>
        <v>0</v>
      </c>
      <c r="L16" s="30" t="s">
        <v>11</v>
      </c>
      <c r="N16" s="4"/>
    </row>
    <row r="17" spans="1:14" x14ac:dyDescent="0.25">
      <c r="A17" s="23" t="str">
        <f>IF(TRIM(E17)&lt;&gt;"",COUNTA($E$10:E17)&amp;"","")</f>
        <v>8</v>
      </c>
      <c r="B17" s="18" t="s">
        <v>88</v>
      </c>
      <c r="C17" s="19" t="s">
        <v>1</v>
      </c>
      <c r="D17" s="20"/>
      <c r="E17" s="21">
        <f>E28*0.47</f>
        <v>118.91</v>
      </c>
      <c r="F17" s="21">
        <f>G17+H17</f>
        <v>0</v>
      </c>
      <c r="G17" s="89"/>
      <c r="H17" s="21"/>
      <c r="I17" s="21">
        <f>J17+K17</f>
        <v>0</v>
      </c>
      <c r="J17" s="39">
        <f>ROUND(G17*E17,2)</f>
        <v>0</v>
      </c>
      <c r="K17" s="21"/>
      <c r="L17" s="22"/>
      <c r="N17" s="4"/>
    </row>
    <row r="18" spans="1:14" ht="25.5" x14ac:dyDescent="0.25">
      <c r="A18" s="23" t="str">
        <f>IF(TRIM(E18)&lt;&gt;"",COUNTA($E$10:E18)&amp;"","")</f>
        <v>9</v>
      </c>
      <c r="B18" s="29" t="s">
        <v>89</v>
      </c>
      <c r="C18" s="25" t="s">
        <v>22</v>
      </c>
      <c r="D18" s="26">
        <v>1.03</v>
      </c>
      <c r="E18" s="27">
        <f>E17*0.05*D18</f>
        <v>6.1238650000000003</v>
      </c>
      <c r="F18" s="27">
        <f t="shared" ref="F18:F19" si="7">G18+H18</f>
        <v>0</v>
      </c>
      <c r="G18" s="27"/>
      <c r="H18" s="90"/>
      <c r="I18" s="27">
        <f t="shared" ref="I18:I19" si="8">J18+K18</f>
        <v>0</v>
      </c>
      <c r="J18" s="27"/>
      <c r="K18" s="27">
        <f t="shared" ref="K18:K19" si="9">ROUND(H18*E18,2)</f>
        <v>0</v>
      </c>
      <c r="L18" s="30" t="s">
        <v>11</v>
      </c>
      <c r="N18" s="4"/>
    </row>
    <row r="19" spans="1:14" ht="25.5" x14ac:dyDescent="0.25">
      <c r="A19" s="23" t="str">
        <f>IF(TRIM(E19)&lt;&gt;"",COUNTA($E$10:E19)&amp;"","")</f>
        <v>10</v>
      </c>
      <c r="B19" s="29" t="s">
        <v>90</v>
      </c>
      <c r="C19" s="25" t="s">
        <v>0</v>
      </c>
      <c r="D19" s="26">
        <v>5</v>
      </c>
      <c r="E19" s="27">
        <f>ROUND(E17*D19,0)</f>
        <v>595</v>
      </c>
      <c r="F19" s="27">
        <f t="shared" si="7"/>
        <v>0</v>
      </c>
      <c r="G19" s="27"/>
      <c r="H19" s="90"/>
      <c r="I19" s="27">
        <f t="shared" si="8"/>
        <v>0</v>
      </c>
      <c r="J19" s="27"/>
      <c r="K19" s="27">
        <f t="shared" si="9"/>
        <v>0</v>
      </c>
      <c r="L19" s="30" t="s">
        <v>11</v>
      </c>
      <c r="N19" s="4"/>
    </row>
    <row r="20" spans="1:14" x14ac:dyDescent="0.25">
      <c r="A20" s="23" t="str">
        <f>IF(TRIM(E20)&lt;&gt;"",COUNTA($E$10:E20)&amp;"","")</f>
        <v>11</v>
      </c>
      <c r="B20" s="18" t="s">
        <v>91</v>
      </c>
      <c r="C20" s="19" t="s">
        <v>1</v>
      </c>
      <c r="D20" s="20"/>
      <c r="E20" s="21">
        <f>E17</f>
        <v>118.91</v>
      </c>
      <c r="F20" s="21">
        <f>G20+H20</f>
        <v>0</v>
      </c>
      <c r="G20" s="89"/>
      <c r="H20" s="21"/>
      <c r="I20" s="21">
        <f>J20+K20</f>
        <v>0</v>
      </c>
      <c r="J20" s="39">
        <f>ROUND(G20*E20,2)</f>
        <v>0</v>
      </c>
      <c r="K20" s="21"/>
      <c r="L20" s="22"/>
      <c r="N20" s="4"/>
    </row>
    <row r="21" spans="1:14" ht="25.5" x14ac:dyDescent="0.25">
      <c r="A21" s="23" t="str">
        <f>IF(TRIM(E21)&lt;&gt;"",COUNTA($E$10:E21)&amp;"","")</f>
        <v>12</v>
      </c>
      <c r="B21" s="29" t="s">
        <v>21</v>
      </c>
      <c r="C21" s="25" t="s">
        <v>22</v>
      </c>
      <c r="D21" s="34">
        <v>1.0149999999999999</v>
      </c>
      <c r="E21" s="27">
        <f>E20*0.02*D21</f>
        <v>2.4138729999999997</v>
      </c>
      <c r="F21" s="27">
        <f t="shared" ref="F21:F22" si="10">G21+H21</f>
        <v>0</v>
      </c>
      <c r="G21" s="27"/>
      <c r="H21" s="90"/>
      <c r="I21" s="27">
        <f t="shared" ref="I21:I22" si="11">J21+K21</f>
        <v>0</v>
      </c>
      <c r="J21" s="27"/>
      <c r="K21" s="27">
        <f t="shared" ref="K21:K22" si="12">ROUND(H21*E21,2)</f>
        <v>0</v>
      </c>
      <c r="L21" s="28" t="s">
        <v>11</v>
      </c>
      <c r="N21" s="4"/>
    </row>
    <row r="22" spans="1:14" ht="25.5" x14ac:dyDescent="0.25">
      <c r="A22" s="23" t="str">
        <f>IF(TRIM(E22)&lt;&gt;"",COUNTA($E$10:E22)&amp;"","")</f>
        <v>13</v>
      </c>
      <c r="B22" s="24" t="s">
        <v>92</v>
      </c>
      <c r="C22" s="25" t="s">
        <v>1</v>
      </c>
      <c r="D22" s="26">
        <v>1.2</v>
      </c>
      <c r="E22" s="27">
        <f>E20*D22</f>
        <v>142.69199999999998</v>
      </c>
      <c r="F22" s="27">
        <f t="shared" si="10"/>
        <v>0</v>
      </c>
      <c r="G22" s="27"/>
      <c r="H22" s="90"/>
      <c r="I22" s="27">
        <f t="shared" si="11"/>
        <v>0</v>
      </c>
      <c r="J22" s="27"/>
      <c r="K22" s="27">
        <f t="shared" si="12"/>
        <v>0</v>
      </c>
      <c r="L22" s="28" t="s">
        <v>11</v>
      </c>
      <c r="N22" s="4"/>
    </row>
    <row r="23" spans="1:14" x14ac:dyDescent="0.25">
      <c r="A23" s="23" t="str">
        <f>IF(TRIM(E23)&lt;&gt;"",COUNTA($E$10:E23)&amp;"","")</f>
        <v>14</v>
      </c>
      <c r="B23" s="18" t="s">
        <v>51</v>
      </c>
      <c r="C23" s="19" t="s">
        <v>1</v>
      </c>
      <c r="D23" s="20"/>
      <c r="E23" s="21">
        <f>E15</f>
        <v>551.94000000000005</v>
      </c>
      <c r="F23" s="21">
        <f>G23+H23</f>
        <v>0</v>
      </c>
      <c r="G23" s="89"/>
      <c r="H23" s="21"/>
      <c r="I23" s="21">
        <f>J23+K23</f>
        <v>0</v>
      </c>
      <c r="J23" s="39">
        <f>ROUND(G23*E23,2)</f>
        <v>0</v>
      </c>
      <c r="K23" s="21"/>
      <c r="L23" s="22"/>
      <c r="N23" s="4"/>
    </row>
    <row r="24" spans="1:14" ht="25.5" x14ac:dyDescent="0.25">
      <c r="A24" s="23" t="str">
        <f>IF(TRIM(E24)&lt;&gt;"",COUNTA($E$10:E24)&amp;"","")</f>
        <v>15</v>
      </c>
      <c r="B24" s="29" t="s">
        <v>73</v>
      </c>
      <c r="C24" s="25" t="s">
        <v>1</v>
      </c>
      <c r="D24" s="26">
        <v>1.1499999999999999</v>
      </c>
      <c r="E24" s="27">
        <f>E23*D24</f>
        <v>634.73099999999999</v>
      </c>
      <c r="F24" s="27">
        <f t="shared" ref="F24" si="13">G24+H24</f>
        <v>0</v>
      </c>
      <c r="G24" s="27"/>
      <c r="H24" s="90"/>
      <c r="I24" s="27">
        <f t="shared" ref="I24" si="14">J24+K24</f>
        <v>0</v>
      </c>
      <c r="J24" s="27"/>
      <c r="K24" s="27">
        <f>ROUND(H24*E24,2)</f>
        <v>0</v>
      </c>
      <c r="L24" s="30" t="s">
        <v>11</v>
      </c>
      <c r="N24" s="4"/>
    </row>
    <row r="25" spans="1:14" ht="38.25" x14ac:dyDescent="0.25">
      <c r="A25" s="23" t="str">
        <f>IF(TRIM(E25)&lt;&gt;"",COUNTA($E$10:E25)&amp;"","")</f>
        <v>16</v>
      </c>
      <c r="B25" s="18" t="s">
        <v>134</v>
      </c>
      <c r="C25" s="19" t="s">
        <v>1</v>
      </c>
      <c r="D25" s="20"/>
      <c r="E25" s="21">
        <f>Расчет!E4+Расчет!E5</f>
        <v>551.94000000000005</v>
      </c>
      <c r="F25" s="21">
        <f>G25+H25</f>
        <v>0</v>
      </c>
      <c r="G25" s="89"/>
      <c r="H25" s="21"/>
      <c r="I25" s="21">
        <f>J25+K25</f>
        <v>0</v>
      </c>
      <c r="J25" s="39">
        <f>ROUND(G25*E25,2)</f>
        <v>0</v>
      </c>
      <c r="K25" s="21"/>
      <c r="L25" s="22"/>
      <c r="M25" s="5"/>
      <c r="N25" s="4"/>
    </row>
    <row r="26" spans="1:14" ht="25.5" x14ac:dyDescent="0.25">
      <c r="A26" s="23" t="str">
        <f>IF(TRIM(E26)&lt;&gt;"",COUNTA($E$10:E26)&amp;"","")</f>
        <v>17</v>
      </c>
      <c r="B26" s="24" t="s">
        <v>21</v>
      </c>
      <c r="C26" s="25" t="s">
        <v>22</v>
      </c>
      <c r="D26" s="34">
        <v>1.0149999999999999</v>
      </c>
      <c r="E26" s="27">
        <f>(Расчет!L9-Расчет!K9)*D26</f>
        <v>77.812133000000202</v>
      </c>
      <c r="F26" s="27">
        <f t="shared" ref="F26:F27" si="15">G26+H26</f>
        <v>0</v>
      </c>
      <c r="G26" s="27"/>
      <c r="H26" s="90"/>
      <c r="I26" s="27">
        <f t="shared" ref="I26:I27" si="16">J26+K26</f>
        <v>0</v>
      </c>
      <c r="J26" s="27"/>
      <c r="K26" s="27">
        <f t="shared" ref="K26:K27" si="17">ROUND(H26*E26,2)</f>
        <v>0</v>
      </c>
      <c r="L26" s="30" t="s">
        <v>11</v>
      </c>
      <c r="N26" s="4"/>
    </row>
    <row r="27" spans="1:14" ht="25.5" x14ac:dyDescent="0.25">
      <c r="A27" s="23" t="str">
        <f>IF(TRIM(E27)&lt;&gt;"",COUNTA($E$10:E27)&amp;"","")</f>
        <v>18</v>
      </c>
      <c r="B27" s="24" t="s">
        <v>74</v>
      </c>
      <c r="C27" s="25" t="s">
        <v>1</v>
      </c>
      <c r="D27" s="26">
        <v>1.2</v>
      </c>
      <c r="E27" s="27">
        <f>E25*D27</f>
        <v>662.32800000000009</v>
      </c>
      <c r="F27" s="27">
        <f t="shared" si="15"/>
        <v>0</v>
      </c>
      <c r="G27" s="27"/>
      <c r="H27" s="90"/>
      <c r="I27" s="27">
        <f t="shared" si="16"/>
        <v>0</v>
      </c>
      <c r="J27" s="27"/>
      <c r="K27" s="27">
        <f t="shared" si="17"/>
        <v>0</v>
      </c>
      <c r="L27" s="28" t="s">
        <v>11</v>
      </c>
      <c r="N27" s="4"/>
    </row>
    <row r="28" spans="1:14" ht="38.25" x14ac:dyDescent="0.25">
      <c r="A28" s="23" t="str">
        <f>IF(TRIM(E28)&lt;&gt;"",COUNTA($E$10:E28)&amp;"","")</f>
        <v>19</v>
      </c>
      <c r="B28" s="18" t="s">
        <v>24</v>
      </c>
      <c r="C28" s="19" t="s">
        <v>23</v>
      </c>
      <c r="D28" s="20"/>
      <c r="E28" s="21">
        <f>Расчет!F8</f>
        <v>253</v>
      </c>
      <c r="F28" s="21">
        <f>G28+H28</f>
        <v>0</v>
      </c>
      <c r="G28" s="89"/>
      <c r="H28" s="21"/>
      <c r="I28" s="21">
        <f>J28+K28</f>
        <v>0</v>
      </c>
      <c r="J28" s="39">
        <f>ROUND(G28*E28,2)</f>
        <v>0</v>
      </c>
      <c r="K28" s="21"/>
      <c r="L28" s="22"/>
      <c r="N28" s="4"/>
    </row>
    <row r="29" spans="1:14" ht="25.5" x14ac:dyDescent="0.25">
      <c r="A29" s="23" t="str">
        <f>IF(TRIM(E29)&lt;&gt;"",COUNTA($E$10:E29)&amp;"","")</f>
        <v>20</v>
      </c>
      <c r="B29" s="24" t="s">
        <v>21</v>
      </c>
      <c r="C29" s="25" t="s">
        <v>22</v>
      </c>
      <c r="D29" s="34">
        <v>5.0000000000000001E-3</v>
      </c>
      <c r="E29" s="27">
        <f>D29*E28</f>
        <v>1.2650000000000001</v>
      </c>
      <c r="F29" s="27">
        <f t="shared" ref="F29" si="18">G29+H29</f>
        <v>0</v>
      </c>
      <c r="G29" s="27"/>
      <c r="H29" s="90"/>
      <c r="I29" s="27">
        <f t="shared" ref="I29" si="19">J29+K29</f>
        <v>0</v>
      </c>
      <c r="J29" s="27"/>
      <c r="K29" s="27">
        <f>ROUND(H29*E29,2)</f>
        <v>0</v>
      </c>
      <c r="L29" s="30" t="s">
        <v>11</v>
      </c>
      <c r="N29" s="4"/>
    </row>
    <row r="30" spans="1:14" ht="25.5" x14ac:dyDescent="0.25">
      <c r="A30" s="23" t="str">
        <f>IF(TRIM(E30)&lt;&gt;"",COUNTA($E$10:E30)&amp;"","")</f>
        <v>21</v>
      </c>
      <c r="B30" s="18" t="s">
        <v>50</v>
      </c>
      <c r="C30" s="19" t="s">
        <v>1</v>
      </c>
      <c r="D30" s="20"/>
      <c r="E30" s="21">
        <f>E10</f>
        <v>640.49</v>
      </c>
      <c r="F30" s="21">
        <f>G30+H30</f>
        <v>0</v>
      </c>
      <c r="G30" s="89"/>
      <c r="H30" s="21"/>
      <c r="I30" s="21">
        <f>J30+K30</f>
        <v>0</v>
      </c>
      <c r="J30" s="39">
        <f>ROUND(G30*E30,2)</f>
        <v>0</v>
      </c>
      <c r="K30" s="21"/>
      <c r="L30" s="22"/>
      <c r="N30" s="4"/>
    </row>
    <row r="31" spans="1:14" ht="25.5" x14ac:dyDescent="0.25">
      <c r="A31" s="23" t="str">
        <f>IF(TRIM(E31)&lt;&gt;"",COUNTA($E$10:E31)&amp;"","")</f>
        <v>22</v>
      </c>
      <c r="B31" s="24" t="s">
        <v>75</v>
      </c>
      <c r="C31" s="25" t="s">
        <v>20</v>
      </c>
      <c r="D31" s="26">
        <v>0.35</v>
      </c>
      <c r="E31" s="27">
        <f>E30*D31</f>
        <v>224.17149999999998</v>
      </c>
      <c r="F31" s="27">
        <f t="shared" ref="F31" si="20">G31+H31</f>
        <v>0</v>
      </c>
      <c r="G31" s="27"/>
      <c r="H31" s="90"/>
      <c r="I31" s="27">
        <f t="shared" ref="I31" si="21">J31+K31</f>
        <v>0</v>
      </c>
      <c r="J31" s="27"/>
      <c r="K31" s="27">
        <f>ROUND(H31*E31,2)</f>
        <v>0</v>
      </c>
      <c r="L31" s="28" t="s">
        <v>11</v>
      </c>
      <c r="N31" s="4"/>
    </row>
    <row r="32" spans="1:14" x14ac:dyDescent="0.25">
      <c r="A32" s="23" t="str">
        <f>IF(TRIM(E32)&lt;&gt;"",COUNTA($E$10:E32)&amp;"","")</f>
        <v>23</v>
      </c>
      <c r="B32" s="18" t="s">
        <v>48</v>
      </c>
      <c r="C32" s="19" t="s">
        <v>1</v>
      </c>
      <c r="D32" s="20"/>
      <c r="E32" s="21">
        <f>Расчет!E4+Расчет!E5</f>
        <v>551.94000000000005</v>
      </c>
      <c r="F32" s="21">
        <f>G32+H32</f>
        <v>0</v>
      </c>
      <c r="G32" s="89"/>
      <c r="H32" s="21"/>
      <c r="I32" s="21">
        <f>J32+K32</f>
        <v>0</v>
      </c>
      <c r="J32" s="39">
        <f>ROUND(G32*E32,2)</f>
        <v>0</v>
      </c>
      <c r="K32" s="21"/>
      <c r="L32" s="22"/>
      <c r="N32" s="4"/>
    </row>
    <row r="33" spans="1:14" ht="25.5" x14ac:dyDescent="0.25">
      <c r="A33" s="23" t="str">
        <f>IF(TRIM(E33)&lt;&gt;"",COUNTA($E$10:E33)&amp;"","")</f>
        <v>24</v>
      </c>
      <c r="B33" s="24" t="s">
        <v>77</v>
      </c>
      <c r="C33" s="25" t="s">
        <v>1</v>
      </c>
      <c r="D33" s="26">
        <v>1.1399999999999999</v>
      </c>
      <c r="E33" s="27">
        <f>E32*D33</f>
        <v>629.21159999999998</v>
      </c>
      <c r="F33" s="27">
        <f t="shared" ref="F33:F35" si="22">G33+H33</f>
        <v>0</v>
      </c>
      <c r="G33" s="27"/>
      <c r="H33" s="90"/>
      <c r="I33" s="27">
        <f t="shared" ref="I33:I35" si="23">J33+K33</f>
        <v>0</v>
      </c>
      <c r="J33" s="27"/>
      <c r="K33" s="27">
        <f t="shared" ref="K33:K35" si="24">ROUND(H33*E33,2)</f>
        <v>0</v>
      </c>
      <c r="L33" s="28" t="s">
        <v>11</v>
      </c>
      <c r="N33" s="4"/>
    </row>
    <row r="34" spans="1:14" ht="25.5" x14ac:dyDescent="0.25">
      <c r="A34" s="23" t="str">
        <f>IF(TRIM(E34)&lt;&gt;"",COUNTA($E$10:E34)&amp;"","")</f>
        <v>25</v>
      </c>
      <c r="B34" s="24" t="s">
        <v>118</v>
      </c>
      <c r="C34" s="25" t="s">
        <v>1</v>
      </c>
      <c r="D34" s="26">
        <v>1.1599999999999999</v>
      </c>
      <c r="E34" s="27">
        <f>E32*D34</f>
        <v>640.25040000000001</v>
      </c>
      <c r="F34" s="27">
        <f t="shared" si="22"/>
        <v>0</v>
      </c>
      <c r="G34" s="27"/>
      <c r="H34" s="90"/>
      <c r="I34" s="27">
        <f t="shared" si="23"/>
        <v>0</v>
      </c>
      <c r="J34" s="27"/>
      <c r="K34" s="27">
        <f t="shared" si="24"/>
        <v>0</v>
      </c>
      <c r="L34" s="28" t="s">
        <v>11</v>
      </c>
      <c r="N34" s="4"/>
    </row>
    <row r="35" spans="1:14" ht="25.5" x14ac:dyDescent="0.25">
      <c r="A35" s="23" t="str">
        <f>IF(TRIM(E35)&lt;&gt;"",COUNTA($E$10:E35)&amp;"","")</f>
        <v>26</v>
      </c>
      <c r="B35" s="24" t="s">
        <v>117</v>
      </c>
      <c r="C35" s="32" t="s">
        <v>3</v>
      </c>
      <c r="D35" s="33">
        <v>0.6</v>
      </c>
      <c r="E35" s="27">
        <f>E32*D35</f>
        <v>331.16400000000004</v>
      </c>
      <c r="F35" s="27">
        <f t="shared" si="22"/>
        <v>0</v>
      </c>
      <c r="G35" s="27"/>
      <c r="H35" s="90"/>
      <c r="I35" s="27">
        <f t="shared" si="23"/>
        <v>0</v>
      </c>
      <c r="J35" s="27"/>
      <c r="K35" s="27">
        <f t="shared" si="24"/>
        <v>0</v>
      </c>
      <c r="L35" s="28" t="s">
        <v>11</v>
      </c>
      <c r="N35" s="4"/>
    </row>
    <row r="36" spans="1:14" ht="25.5" x14ac:dyDescent="0.25">
      <c r="A36" s="23" t="str">
        <f>IF(TRIM(E36)&lt;&gt;"",COUNTA($E$10:E36)&amp;"","")</f>
        <v>27</v>
      </c>
      <c r="B36" s="18" t="s">
        <v>119</v>
      </c>
      <c r="C36" s="19" t="s">
        <v>23</v>
      </c>
      <c r="D36" s="20"/>
      <c r="E36" s="21">
        <f>E28</f>
        <v>253</v>
      </c>
      <c r="F36" s="21">
        <f>G36+H36</f>
        <v>0</v>
      </c>
      <c r="G36" s="89"/>
      <c r="H36" s="21"/>
      <c r="I36" s="21">
        <f>J36+K36</f>
        <v>0</v>
      </c>
      <c r="J36" s="39">
        <f>ROUND(G36*E36,2)</f>
        <v>0</v>
      </c>
      <c r="K36" s="21"/>
      <c r="L36" s="22"/>
      <c r="N36" s="4"/>
    </row>
    <row r="37" spans="1:14" ht="25.5" x14ac:dyDescent="0.25">
      <c r="A37" s="23" t="str">
        <f>IF(TRIM(E37)&lt;&gt;"",COUNTA($E$10:E37)&amp;"","")</f>
        <v>28</v>
      </c>
      <c r="B37" s="24" t="s">
        <v>77</v>
      </c>
      <c r="C37" s="25" t="s">
        <v>1</v>
      </c>
      <c r="D37" s="26">
        <v>1.1399999999999999</v>
      </c>
      <c r="E37" s="27">
        <f>E36*0.6*D37</f>
        <v>173.05199999999996</v>
      </c>
      <c r="F37" s="27">
        <f t="shared" ref="F37:F42" si="25">G37+H37</f>
        <v>0</v>
      </c>
      <c r="G37" s="27"/>
      <c r="H37" s="90"/>
      <c r="I37" s="27">
        <f t="shared" ref="I37:I42" si="26">J37+K37</f>
        <v>0</v>
      </c>
      <c r="J37" s="27"/>
      <c r="K37" s="27">
        <f t="shared" ref="K37:K42" si="27">ROUND(H37*E37,2)</f>
        <v>0</v>
      </c>
      <c r="L37" s="30" t="s">
        <v>11</v>
      </c>
      <c r="N37" s="4"/>
    </row>
    <row r="38" spans="1:14" ht="25.5" x14ac:dyDescent="0.25">
      <c r="A38" s="23" t="str">
        <f>IF(TRIM(E38)&lt;&gt;"",COUNTA($E$10:E38)&amp;"","")</f>
        <v>29</v>
      </c>
      <c r="B38" s="24" t="s">
        <v>118</v>
      </c>
      <c r="C38" s="25" t="s">
        <v>1</v>
      </c>
      <c r="D38" s="26">
        <v>1.1599999999999999</v>
      </c>
      <c r="E38" s="27">
        <f>E36*0.6*D38</f>
        <v>176.08799999999997</v>
      </c>
      <c r="F38" s="27">
        <f t="shared" si="25"/>
        <v>0</v>
      </c>
      <c r="G38" s="27"/>
      <c r="H38" s="90"/>
      <c r="I38" s="27">
        <f t="shared" si="26"/>
        <v>0</v>
      </c>
      <c r="J38" s="27"/>
      <c r="K38" s="27">
        <f t="shared" si="27"/>
        <v>0</v>
      </c>
      <c r="L38" s="30" t="s">
        <v>11</v>
      </c>
      <c r="N38" s="4"/>
    </row>
    <row r="39" spans="1:14" ht="25.5" x14ac:dyDescent="0.25">
      <c r="A39" s="23" t="str">
        <f>IF(TRIM(E39)&lt;&gt;"",COUNTA($E$10:E39)&amp;"","")</f>
        <v>30</v>
      </c>
      <c r="B39" s="24" t="s">
        <v>117</v>
      </c>
      <c r="C39" s="32" t="s">
        <v>3</v>
      </c>
      <c r="D39" s="26">
        <v>0.6</v>
      </c>
      <c r="E39" s="27">
        <f>E36*D39</f>
        <v>151.79999999999998</v>
      </c>
      <c r="F39" s="27">
        <f t="shared" si="25"/>
        <v>0</v>
      </c>
      <c r="G39" s="27"/>
      <c r="H39" s="90"/>
      <c r="I39" s="27">
        <f t="shared" si="26"/>
        <v>0</v>
      </c>
      <c r="J39" s="27"/>
      <c r="K39" s="27">
        <f t="shared" si="27"/>
        <v>0</v>
      </c>
      <c r="L39" s="30" t="s">
        <v>11</v>
      </c>
      <c r="N39" s="4"/>
    </row>
    <row r="40" spans="1:14" ht="25.5" x14ac:dyDescent="0.25">
      <c r="A40" s="23" t="str">
        <f>IF(TRIM(E40)&lt;&gt;"",COUNTA($E$10:E40)&amp;"","")</f>
        <v>31</v>
      </c>
      <c r="B40" s="24" t="s">
        <v>33</v>
      </c>
      <c r="C40" s="36" t="s">
        <v>2</v>
      </c>
      <c r="D40" s="26">
        <v>1.03</v>
      </c>
      <c r="E40" s="27">
        <f>E36*D40</f>
        <v>260.59000000000003</v>
      </c>
      <c r="F40" s="27">
        <f t="shared" si="25"/>
        <v>0</v>
      </c>
      <c r="G40" s="27"/>
      <c r="H40" s="90"/>
      <c r="I40" s="27">
        <f t="shared" si="26"/>
        <v>0</v>
      </c>
      <c r="J40" s="27"/>
      <c r="K40" s="27">
        <f t="shared" si="27"/>
        <v>0</v>
      </c>
      <c r="L40" s="30" t="s">
        <v>11</v>
      </c>
      <c r="N40" s="4"/>
    </row>
    <row r="41" spans="1:14" ht="25.5" x14ac:dyDescent="0.25">
      <c r="A41" s="23" t="str">
        <f>IF(TRIM(E41)&lt;&gt;"",COUNTA($E$10:E41)&amp;"","")</f>
        <v>32</v>
      </c>
      <c r="B41" s="24" t="s">
        <v>25</v>
      </c>
      <c r="C41" s="32" t="s">
        <v>0</v>
      </c>
      <c r="D41" s="26">
        <v>5</v>
      </c>
      <c r="E41" s="27">
        <f>ROUNDUP(E40*D41,0)</f>
        <v>1303</v>
      </c>
      <c r="F41" s="27">
        <f t="shared" si="25"/>
        <v>0</v>
      </c>
      <c r="G41" s="27"/>
      <c r="H41" s="90"/>
      <c r="I41" s="27">
        <f t="shared" si="26"/>
        <v>0</v>
      </c>
      <c r="J41" s="27"/>
      <c r="K41" s="27">
        <f t="shared" si="27"/>
        <v>0</v>
      </c>
      <c r="L41" s="30" t="s">
        <v>11</v>
      </c>
      <c r="N41" s="4"/>
    </row>
    <row r="42" spans="1:14" ht="25.5" x14ac:dyDescent="0.25">
      <c r="A42" s="23" t="str">
        <f>IF(TRIM(E42)&lt;&gt;"",COUNTA($E$10:E42)&amp;"","")</f>
        <v>33</v>
      </c>
      <c r="B42" s="24" t="s">
        <v>57</v>
      </c>
      <c r="C42" s="37" t="s">
        <v>0</v>
      </c>
      <c r="D42" s="26">
        <v>0.15</v>
      </c>
      <c r="E42" s="27">
        <f>ROUNDDOWN(E36*0.15,0)</f>
        <v>37</v>
      </c>
      <c r="F42" s="27">
        <f t="shared" si="25"/>
        <v>0</v>
      </c>
      <c r="G42" s="27"/>
      <c r="H42" s="90"/>
      <c r="I42" s="27">
        <f t="shared" si="26"/>
        <v>0</v>
      </c>
      <c r="J42" s="27"/>
      <c r="K42" s="27">
        <f t="shared" si="27"/>
        <v>0</v>
      </c>
      <c r="L42" s="30" t="s">
        <v>11</v>
      </c>
      <c r="N42" s="4"/>
    </row>
    <row r="43" spans="1:14" x14ac:dyDescent="0.25">
      <c r="A43" s="23" t="str">
        <f>IF(TRIM(E43)&lt;&gt;"",COUNTA($E$10:E43)&amp;"","")</f>
        <v>34</v>
      </c>
      <c r="B43" s="18" t="s">
        <v>26</v>
      </c>
      <c r="C43" s="19" t="s">
        <v>0</v>
      </c>
      <c r="D43" s="20"/>
      <c r="E43" s="21">
        <v>4</v>
      </c>
      <c r="F43" s="21">
        <f>G43+H43</f>
        <v>0</v>
      </c>
      <c r="G43" s="89"/>
      <c r="H43" s="21"/>
      <c r="I43" s="21">
        <f>J43+K43</f>
        <v>0</v>
      </c>
      <c r="J43" s="39">
        <f>ROUND(G43*E43,2)</f>
        <v>0</v>
      </c>
      <c r="K43" s="21"/>
      <c r="L43" s="22"/>
      <c r="N43" s="4"/>
    </row>
    <row r="44" spans="1:14" ht="38.25" x14ac:dyDescent="0.25">
      <c r="A44" s="23" t="str">
        <f>IF(TRIM(E44)&lt;&gt;"",COUNTA($E$10:E44)&amp;"","")</f>
        <v>35</v>
      </c>
      <c r="B44" s="24" t="s">
        <v>120</v>
      </c>
      <c r="C44" s="25" t="s">
        <v>0</v>
      </c>
      <c r="D44" s="26">
        <v>1</v>
      </c>
      <c r="E44" s="27">
        <f>E43</f>
        <v>4</v>
      </c>
      <c r="F44" s="27">
        <f t="shared" ref="F44" si="28">G44+H44</f>
        <v>0</v>
      </c>
      <c r="G44" s="27"/>
      <c r="H44" s="90"/>
      <c r="I44" s="27">
        <f t="shared" ref="I44" si="29">J44+K44</f>
        <v>0</v>
      </c>
      <c r="J44" s="27"/>
      <c r="K44" s="27">
        <f>ROUND(H44*E44,2)</f>
        <v>0</v>
      </c>
      <c r="L44" s="30" t="s">
        <v>11</v>
      </c>
      <c r="N44" s="4"/>
    </row>
    <row r="45" spans="1:14" x14ac:dyDescent="0.25">
      <c r="A45" s="23" t="str">
        <f>IF(TRIM(E45)&lt;&gt;"",COUNTA($E$10:E45)&amp;"","")</f>
        <v>36</v>
      </c>
      <c r="B45" s="18" t="s">
        <v>46</v>
      </c>
      <c r="C45" s="19" t="s">
        <v>0</v>
      </c>
      <c r="D45" s="20"/>
      <c r="E45" s="21">
        <v>2</v>
      </c>
      <c r="F45" s="21">
        <f>G45+H45</f>
        <v>0</v>
      </c>
      <c r="G45" s="89"/>
      <c r="H45" s="21"/>
      <c r="I45" s="21">
        <f>J45+K45</f>
        <v>0</v>
      </c>
      <c r="J45" s="39">
        <f>ROUND(G45*E45,2)</f>
        <v>0</v>
      </c>
      <c r="K45" s="21"/>
      <c r="L45" s="22"/>
      <c r="N45" s="4"/>
    </row>
    <row r="46" spans="1:14" ht="25.5" x14ac:dyDescent="0.25">
      <c r="A46" s="23" t="str">
        <f>IF(TRIM(E46)&lt;&gt;"",COUNTA($E$10:E46)&amp;"","")</f>
        <v>37</v>
      </c>
      <c r="B46" s="24" t="s">
        <v>78</v>
      </c>
      <c r="C46" s="25" t="s">
        <v>0</v>
      </c>
      <c r="D46" s="26">
        <v>1</v>
      </c>
      <c r="E46" s="27">
        <f>E45</f>
        <v>2</v>
      </c>
      <c r="F46" s="27">
        <f t="shared" ref="F46" si="30">G46+H46</f>
        <v>0</v>
      </c>
      <c r="G46" s="27"/>
      <c r="H46" s="90"/>
      <c r="I46" s="27">
        <f t="shared" ref="I46" si="31">J46+K46</f>
        <v>0</v>
      </c>
      <c r="J46" s="27"/>
      <c r="K46" s="27">
        <f>ROUND(H46*E46,2)</f>
        <v>0</v>
      </c>
      <c r="L46" s="30" t="s">
        <v>11</v>
      </c>
      <c r="N46" s="4"/>
    </row>
    <row r="47" spans="1:14" x14ac:dyDescent="0.25">
      <c r="A47" s="23" t="str">
        <f>IF(TRIM(E47)&lt;&gt;"",COUNTA($E$10:E47)&amp;"","")</f>
        <v>38</v>
      </c>
      <c r="B47" s="18" t="s">
        <v>44</v>
      </c>
      <c r="C47" s="19" t="s">
        <v>0</v>
      </c>
      <c r="D47" s="20"/>
      <c r="E47" s="21">
        <f>4+4</f>
        <v>8</v>
      </c>
      <c r="F47" s="21">
        <f>G47+H47</f>
        <v>0</v>
      </c>
      <c r="G47" s="89"/>
      <c r="H47" s="21"/>
      <c r="I47" s="21">
        <f>J47+K47</f>
        <v>0</v>
      </c>
      <c r="J47" s="39">
        <f>ROUND(G47*E47,2)</f>
        <v>0</v>
      </c>
      <c r="K47" s="21"/>
      <c r="L47" s="22"/>
      <c r="N47" s="4"/>
    </row>
    <row r="48" spans="1:14" ht="25.5" x14ac:dyDescent="0.25">
      <c r="A48" s="23" t="str">
        <f>IF(TRIM(E48)&lt;&gt;"",COUNTA($E$10:E48)&amp;"","")</f>
        <v>39</v>
      </c>
      <c r="B48" s="24" t="s">
        <v>54</v>
      </c>
      <c r="C48" s="25" t="s">
        <v>0</v>
      </c>
      <c r="D48" s="26">
        <v>1</v>
      </c>
      <c r="E48" s="27">
        <f>E47*D48</f>
        <v>8</v>
      </c>
      <c r="F48" s="27">
        <f t="shared" ref="F48" si="32">G48+H48</f>
        <v>0</v>
      </c>
      <c r="G48" s="27"/>
      <c r="H48" s="90"/>
      <c r="I48" s="27">
        <f t="shared" ref="I48" si="33">J48+K48</f>
        <v>0</v>
      </c>
      <c r="J48" s="27"/>
      <c r="K48" s="27">
        <f>ROUND(H48*E48,2)</f>
        <v>0</v>
      </c>
      <c r="L48" s="30" t="s">
        <v>11</v>
      </c>
      <c r="N48" s="4"/>
    </row>
    <row r="49" spans="1:14" x14ac:dyDescent="0.25">
      <c r="A49" s="23" t="str">
        <f>IF(TRIM(E49)&lt;&gt;"",COUNTA($E$10:E49)&amp;"","")</f>
        <v>40</v>
      </c>
      <c r="B49" s="18" t="s">
        <v>52</v>
      </c>
      <c r="C49" s="19" t="s">
        <v>0</v>
      </c>
      <c r="D49" s="20"/>
      <c r="E49" s="21">
        <v>9</v>
      </c>
      <c r="F49" s="21">
        <f>G49+H49</f>
        <v>0</v>
      </c>
      <c r="G49" s="89"/>
      <c r="H49" s="21"/>
      <c r="I49" s="21">
        <f>J49+K49</f>
        <v>0</v>
      </c>
      <c r="J49" s="39">
        <f>ROUND(G49*E49,2)</f>
        <v>0</v>
      </c>
      <c r="K49" s="21"/>
      <c r="L49" s="22"/>
      <c r="N49" s="4"/>
    </row>
    <row r="50" spans="1:14" ht="25.5" x14ac:dyDescent="0.25">
      <c r="A50" s="23" t="str">
        <f>IF(TRIM(E50)&lt;&gt;"",COUNTA($E$10:E50)&amp;"","")</f>
        <v>41</v>
      </c>
      <c r="B50" s="31" t="s">
        <v>49</v>
      </c>
      <c r="C50" s="25" t="s">
        <v>0</v>
      </c>
      <c r="D50" s="26">
        <v>0.15</v>
      </c>
      <c r="E50" s="27">
        <f>ROUNDUP(D50*E49,0)</f>
        <v>2</v>
      </c>
      <c r="F50" s="27">
        <f t="shared" ref="F50:F51" si="34">G50+H50</f>
        <v>0</v>
      </c>
      <c r="G50" s="27"/>
      <c r="H50" s="90"/>
      <c r="I50" s="27">
        <f t="shared" ref="I50:I51" si="35">J50+K50</f>
        <v>0</v>
      </c>
      <c r="J50" s="27"/>
      <c r="K50" s="27">
        <f t="shared" ref="K50:K51" si="36">ROUND(H50*E50,2)</f>
        <v>0</v>
      </c>
      <c r="L50" s="30" t="s">
        <v>11</v>
      </c>
      <c r="N50" s="4"/>
    </row>
    <row r="51" spans="1:14" ht="25.5" x14ac:dyDescent="0.25">
      <c r="A51" s="23" t="str">
        <f>IF(TRIM(E51)&lt;&gt;"",COUNTA($E$10:E51)&amp;"","")</f>
        <v>42</v>
      </c>
      <c r="B51" s="24" t="s">
        <v>55</v>
      </c>
      <c r="C51" s="25" t="s">
        <v>0</v>
      </c>
      <c r="D51" s="26">
        <v>1</v>
      </c>
      <c r="E51" s="27">
        <f>E49*D51</f>
        <v>9</v>
      </c>
      <c r="F51" s="27">
        <f t="shared" si="34"/>
        <v>0</v>
      </c>
      <c r="G51" s="27"/>
      <c r="H51" s="90"/>
      <c r="I51" s="27">
        <f t="shared" si="35"/>
        <v>0</v>
      </c>
      <c r="J51" s="27"/>
      <c r="K51" s="27">
        <f t="shared" si="36"/>
        <v>0</v>
      </c>
      <c r="L51" s="30" t="s">
        <v>11</v>
      </c>
      <c r="N51" s="4"/>
    </row>
    <row r="52" spans="1:14" x14ac:dyDescent="0.25">
      <c r="A52" s="23" t="str">
        <f>IF(TRIM(E52)&lt;&gt;"",COUNTA($E$10:E52)&amp;"","")</f>
        <v>43</v>
      </c>
      <c r="B52" s="18" t="s">
        <v>56</v>
      </c>
      <c r="C52" s="19" t="s">
        <v>0</v>
      </c>
      <c r="D52" s="20"/>
      <c r="E52" s="21">
        <v>2</v>
      </c>
      <c r="F52" s="21">
        <f>G52+H52</f>
        <v>0</v>
      </c>
      <c r="G52" s="89"/>
      <c r="H52" s="21"/>
      <c r="I52" s="21">
        <f>J52+K52</f>
        <v>0</v>
      </c>
      <c r="J52" s="39">
        <f>ROUND(G52*E52,2)</f>
        <v>0</v>
      </c>
      <c r="K52" s="21"/>
      <c r="L52" s="22"/>
      <c r="N52" s="4"/>
    </row>
    <row r="53" spans="1:14" ht="25.5" x14ac:dyDescent="0.25">
      <c r="A53" s="23" t="str">
        <f>IF(TRIM(E53)&lt;&gt;"",COUNTA($E$10:E53)&amp;"","")</f>
        <v>44</v>
      </c>
      <c r="B53" s="24" t="s">
        <v>79</v>
      </c>
      <c r="C53" s="25" t="s">
        <v>0</v>
      </c>
      <c r="D53" s="26">
        <v>1</v>
      </c>
      <c r="E53" s="27">
        <f>D53*E52</f>
        <v>2</v>
      </c>
      <c r="F53" s="27">
        <f t="shared" ref="F53:F56" si="37">G53+H53</f>
        <v>0</v>
      </c>
      <c r="G53" s="27"/>
      <c r="H53" s="90"/>
      <c r="I53" s="27">
        <f t="shared" ref="I53:I56" si="38">J53+K53</f>
        <v>0</v>
      </c>
      <c r="J53" s="27"/>
      <c r="K53" s="27">
        <f t="shared" ref="K53:K56" si="39">ROUND(H53*E53,2)</f>
        <v>0</v>
      </c>
      <c r="L53" s="30" t="s">
        <v>11</v>
      </c>
      <c r="N53" s="4"/>
    </row>
    <row r="54" spans="1:14" ht="25.5" x14ac:dyDescent="0.25">
      <c r="A54" s="23" t="str">
        <f>IF(TRIM(E54)&lt;&gt;"",COUNTA($E$10:E54)&amp;"","")</f>
        <v>45</v>
      </c>
      <c r="B54" s="24" t="s">
        <v>121</v>
      </c>
      <c r="C54" s="25" t="s">
        <v>0</v>
      </c>
      <c r="D54" s="26">
        <v>1</v>
      </c>
      <c r="E54" s="27">
        <f>D54*E52</f>
        <v>2</v>
      </c>
      <c r="F54" s="27">
        <f t="shared" si="37"/>
        <v>0</v>
      </c>
      <c r="G54" s="27"/>
      <c r="H54" s="90"/>
      <c r="I54" s="27">
        <f t="shared" si="38"/>
        <v>0</v>
      </c>
      <c r="J54" s="27"/>
      <c r="K54" s="27">
        <f t="shared" si="39"/>
        <v>0</v>
      </c>
      <c r="L54" s="30" t="s">
        <v>11</v>
      </c>
      <c r="N54" s="4"/>
    </row>
    <row r="55" spans="1:14" ht="25.5" x14ac:dyDescent="0.25">
      <c r="A55" s="23" t="str">
        <f>IF(TRIM(E55)&lt;&gt;"",COUNTA($E$10:E55)&amp;"","")</f>
        <v>46</v>
      </c>
      <c r="B55" s="24" t="s">
        <v>80</v>
      </c>
      <c r="C55" s="25" t="s">
        <v>0</v>
      </c>
      <c r="D55" s="26">
        <v>1</v>
      </c>
      <c r="E55" s="27">
        <f>D55*E52</f>
        <v>2</v>
      </c>
      <c r="F55" s="27">
        <f t="shared" si="37"/>
        <v>0</v>
      </c>
      <c r="G55" s="27"/>
      <c r="H55" s="90"/>
      <c r="I55" s="27">
        <f t="shared" si="38"/>
        <v>0</v>
      </c>
      <c r="J55" s="27"/>
      <c r="K55" s="27">
        <f t="shared" si="39"/>
        <v>0</v>
      </c>
      <c r="L55" s="30" t="s">
        <v>11</v>
      </c>
      <c r="N55" s="4"/>
    </row>
    <row r="56" spans="1:14" ht="25.5" x14ac:dyDescent="0.25">
      <c r="A56" s="23" t="str">
        <f>IF(TRIM(E56)&lt;&gt;"",COUNTA($E$10:E56)&amp;"","")</f>
        <v>47</v>
      </c>
      <c r="B56" s="24" t="s">
        <v>27</v>
      </c>
      <c r="C56" s="25" t="s">
        <v>0</v>
      </c>
      <c r="D56" s="26">
        <v>2</v>
      </c>
      <c r="E56" s="27">
        <f>D56*E52</f>
        <v>4</v>
      </c>
      <c r="F56" s="27">
        <f t="shared" si="37"/>
        <v>0</v>
      </c>
      <c r="G56" s="27"/>
      <c r="H56" s="90"/>
      <c r="I56" s="27">
        <f t="shared" si="38"/>
        <v>0</v>
      </c>
      <c r="J56" s="27"/>
      <c r="K56" s="27">
        <f t="shared" si="39"/>
        <v>0</v>
      </c>
      <c r="L56" s="30" t="s">
        <v>11</v>
      </c>
      <c r="N56" s="4"/>
    </row>
    <row r="57" spans="1:14" x14ac:dyDescent="0.25">
      <c r="A57" s="23" t="str">
        <f>IF(TRIM(E57)&lt;&gt;"",COUNTA($E$10:E57)&amp;"","")</f>
        <v>48</v>
      </c>
      <c r="B57" s="43" t="s">
        <v>171</v>
      </c>
      <c r="C57" s="19" t="s">
        <v>0</v>
      </c>
      <c r="D57" s="38"/>
      <c r="E57" s="21">
        <v>2</v>
      </c>
      <c r="F57" s="21">
        <f>G57+H57</f>
        <v>0</v>
      </c>
      <c r="G57" s="89"/>
      <c r="H57" s="21"/>
      <c r="I57" s="21">
        <f>J57+K57</f>
        <v>0</v>
      </c>
      <c r="J57" s="39">
        <f>ROUND(G57*E57,2)</f>
        <v>0</v>
      </c>
      <c r="K57" s="21"/>
      <c r="L57" s="40"/>
      <c r="N57" s="4"/>
    </row>
    <row r="58" spans="1:14" ht="25.5" x14ac:dyDescent="0.25">
      <c r="A58" s="23" t="str">
        <f>IF(TRIM(E58)&lt;&gt;"",COUNTA($E$10:E58)&amp;"","")</f>
        <v>49</v>
      </c>
      <c r="B58" s="31" t="s">
        <v>93</v>
      </c>
      <c r="C58" s="25" t="s">
        <v>3</v>
      </c>
      <c r="D58" s="37">
        <v>1.03</v>
      </c>
      <c r="E58" s="44">
        <f>ROUND((2.863*4.81)*2*D58*E57,2)</f>
        <v>56.74</v>
      </c>
      <c r="F58" s="27">
        <f t="shared" ref="F58:F69" si="40">G58+H58</f>
        <v>0</v>
      </c>
      <c r="G58" s="27"/>
      <c r="H58" s="90"/>
      <c r="I58" s="27">
        <f t="shared" ref="I58:I69" si="41">J58+K58</f>
        <v>0</v>
      </c>
      <c r="J58" s="27"/>
      <c r="K58" s="27">
        <f t="shared" ref="K58:K69" si="42">ROUND(H58*E58,2)</f>
        <v>0</v>
      </c>
      <c r="L58" s="30" t="s">
        <v>11</v>
      </c>
      <c r="N58" s="4"/>
    </row>
    <row r="59" spans="1:14" ht="25.5" x14ac:dyDescent="0.25">
      <c r="A59" s="23" t="str">
        <f>IF(TRIM(E59)&lt;&gt;"",COUNTA($E$10:E59)&amp;"","")</f>
        <v>50</v>
      </c>
      <c r="B59" s="31" t="s">
        <v>94</v>
      </c>
      <c r="C59" s="25" t="s">
        <v>3</v>
      </c>
      <c r="D59" s="37">
        <v>1.03</v>
      </c>
      <c r="E59" s="45">
        <f>ROUND((0.343*4.81)*2*D59*E57,2)</f>
        <v>6.8</v>
      </c>
      <c r="F59" s="27">
        <f t="shared" si="40"/>
        <v>0</v>
      </c>
      <c r="G59" s="27"/>
      <c r="H59" s="90"/>
      <c r="I59" s="27">
        <f t="shared" si="41"/>
        <v>0</v>
      </c>
      <c r="J59" s="27"/>
      <c r="K59" s="27">
        <f t="shared" si="42"/>
        <v>0</v>
      </c>
      <c r="L59" s="30" t="s">
        <v>11</v>
      </c>
      <c r="N59" s="4"/>
    </row>
    <row r="60" spans="1:14" ht="25.5" x14ac:dyDescent="0.25">
      <c r="A60" s="23" t="str">
        <f>IF(TRIM(E60)&lt;&gt;"",COUNTA($E$10:E60)&amp;"","")</f>
        <v>51</v>
      </c>
      <c r="B60" s="31" t="s">
        <v>95</v>
      </c>
      <c r="C60" s="25" t="s">
        <v>3</v>
      </c>
      <c r="D60" s="37">
        <v>1.03</v>
      </c>
      <c r="E60" s="45">
        <f>ROUND((0.48*4.81)*10*D60*E57,2)</f>
        <v>47.56</v>
      </c>
      <c r="F60" s="27">
        <f t="shared" si="40"/>
        <v>0</v>
      </c>
      <c r="G60" s="27"/>
      <c r="H60" s="90"/>
      <c r="I60" s="27">
        <f t="shared" si="41"/>
        <v>0</v>
      </c>
      <c r="J60" s="27"/>
      <c r="K60" s="27">
        <f t="shared" si="42"/>
        <v>0</v>
      </c>
      <c r="L60" s="30" t="s">
        <v>11</v>
      </c>
      <c r="N60" s="4"/>
    </row>
    <row r="61" spans="1:14" ht="25.5" x14ac:dyDescent="0.25">
      <c r="A61" s="23" t="str">
        <f>IF(TRIM(E61)&lt;&gt;"",COUNTA($E$10:E61)&amp;"","")</f>
        <v>52</v>
      </c>
      <c r="B61" s="31" t="s">
        <v>58</v>
      </c>
      <c r="C61" s="25" t="s">
        <v>3</v>
      </c>
      <c r="D61" s="37">
        <v>1.03</v>
      </c>
      <c r="E61" s="45">
        <f>ROUND((0.3*4.81)*2*D61*E57,2)</f>
        <v>5.95</v>
      </c>
      <c r="F61" s="27">
        <f t="shared" si="40"/>
        <v>0</v>
      </c>
      <c r="G61" s="27"/>
      <c r="H61" s="90"/>
      <c r="I61" s="27">
        <f t="shared" si="41"/>
        <v>0</v>
      </c>
      <c r="J61" s="27"/>
      <c r="K61" s="27">
        <f t="shared" si="42"/>
        <v>0</v>
      </c>
      <c r="L61" s="30" t="s">
        <v>11</v>
      </c>
      <c r="N61" s="4"/>
    </row>
    <row r="62" spans="1:14" ht="25.5" x14ac:dyDescent="0.25">
      <c r="A62" s="23" t="str">
        <f>IF(TRIM(E62)&lt;&gt;"",COUNTA($E$10:E62)&amp;"","")</f>
        <v>53</v>
      </c>
      <c r="B62" s="31" t="s">
        <v>59</v>
      </c>
      <c r="C62" s="25" t="s">
        <v>3</v>
      </c>
      <c r="D62" s="32">
        <v>1.03</v>
      </c>
      <c r="E62" s="45">
        <f>ROUND(5.55*0.73*8*D62*E57,2)</f>
        <v>66.77</v>
      </c>
      <c r="F62" s="27">
        <f t="shared" si="40"/>
        <v>0</v>
      </c>
      <c r="G62" s="27"/>
      <c r="H62" s="90"/>
      <c r="I62" s="27">
        <f t="shared" si="41"/>
        <v>0</v>
      </c>
      <c r="J62" s="27"/>
      <c r="K62" s="27">
        <f t="shared" si="42"/>
        <v>0</v>
      </c>
      <c r="L62" s="30" t="s">
        <v>11</v>
      </c>
      <c r="N62" s="4"/>
    </row>
    <row r="63" spans="1:14" ht="25.5" x14ac:dyDescent="0.25">
      <c r="A63" s="23" t="str">
        <f>IF(TRIM(E63)&lt;&gt;"",COUNTA($E$10:E63)&amp;"","")</f>
        <v>54</v>
      </c>
      <c r="B63" s="31" t="s">
        <v>122</v>
      </c>
      <c r="C63" s="25" t="s">
        <v>3</v>
      </c>
      <c r="D63" s="32">
        <v>1.03</v>
      </c>
      <c r="E63" s="45">
        <f>ROUND(4.43*2.48*2*D63*E57,2)</f>
        <v>45.26</v>
      </c>
      <c r="F63" s="27">
        <f t="shared" si="40"/>
        <v>0</v>
      </c>
      <c r="G63" s="27"/>
      <c r="H63" s="90"/>
      <c r="I63" s="27">
        <f t="shared" si="41"/>
        <v>0</v>
      </c>
      <c r="J63" s="27"/>
      <c r="K63" s="27">
        <f t="shared" si="42"/>
        <v>0</v>
      </c>
      <c r="L63" s="30" t="s">
        <v>11</v>
      </c>
      <c r="N63" s="4"/>
    </row>
    <row r="64" spans="1:14" ht="25.5" x14ac:dyDescent="0.25">
      <c r="A64" s="23" t="str">
        <f>IF(TRIM(E64)&lt;&gt;"",COUNTA($E$10:E64)&amp;"","")</f>
        <v>55</v>
      </c>
      <c r="B64" s="31" t="s">
        <v>60</v>
      </c>
      <c r="C64" s="25" t="s">
        <v>0</v>
      </c>
      <c r="D64" s="37">
        <v>1</v>
      </c>
      <c r="E64" s="46">
        <f>40*E57</f>
        <v>80</v>
      </c>
      <c r="F64" s="27">
        <f t="shared" si="40"/>
        <v>0</v>
      </c>
      <c r="G64" s="27"/>
      <c r="H64" s="90"/>
      <c r="I64" s="27">
        <f t="shared" si="41"/>
        <v>0</v>
      </c>
      <c r="J64" s="27"/>
      <c r="K64" s="27">
        <f t="shared" si="42"/>
        <v>0</v>
      </c>
      <c r="L64" s="30" t="s">
        <v>11</v>
      </c>
      <c r="N64" s="4"/>
    </row>
    <row r="65" spans="1:14" ht="25.5" x14ac:dyDescent="0.25">
      <c r="A65" s="23" t="str">
        <f>IF(TRIM(E65)&lt;&gt;"",COUNTA($E$10:E65)&amp;"","")</f>
        <v>56</v>
      </c>
      <c r="B65" s="31" t="s">
        <v>61</v>
      </c>
      <c r="C65" s="25" t="s">
        <v>3</v>
      </c>
      <c r="D65" s="37">
        <v>1.03</v>
      </c>
      <c r="E65" s="45">
        <f>ROUND((0.15*0.12*78.5)*8*D65*E57,2)</f>
        <v>23.29</v>
      </c>
      <c r="F65" s="27">
        <f t="shared" si="40"/>
        <v>0</v>
      </c>
      <c r="G65" s="27"/>
      <c r="H65" s="90"/>
      <c r="I65" s="27">
        <f t="shared" si="41"/>
        <v>0</v>
      </c>
      <c r="J65" s="27"/>
      <c r="K65" s="27">
        <f t="shared" si="42"/>
        <v>0</v>
      </c>
      <c r="L65" s="30" t="s">
        <v>11</v>
      </c>
      <c r="N65" s="4"/>
    </row>
    <row r="66" spans="1:14" ht="25.5" x14ac:dyDescent="0.25">
      <c r="A66" s="23" t="str">
        <f>IF(TRIM(E66)&lt;&gt;"",COUNTA($E$10:E66)&amp;"","")</f>
        <v>57</v>
      </c>
      <c r="B66" s="47" t="s">
        <v>96</v>
      </c>
      <c r="C66" s="25" t="s">
        <v>3</v>
      </c>
      <c r="D66" s="37">
        <v>1.03</v>
      </c>
      <c r="E66" s="45">
        <f>ROUND((1.19*0.73*39.25)*1*D66*E57,2)</f>
        <v>70.239999999999995</v>
      </c>
      <c r="F66" s="27">
        <f t="shared" si="40"/>
        <v>0</v>
      </c>
      <c r="G66" s="27"/>
      <c r="H66" s="90"/>
      <c r="I66" s="27">
        <f t="shared" si="41"/>
        <v>0</v>
      </c>
      <c r="J66" s="27"/>
      <c r="K66" s="27">
        <f t="shared" si="42"/>
        <v>0</v>
      </c>
      <c r="L66" s="30" t="s">
        <v>11</v>
      </c>
      <c r="N66" s="4"/>
    </row>
    <row r="67" spans="1:14" ht="25.5" x14ac:dyDescent="0.25">
      <c r="A67" s="23" t="str">
        <f>IF(TRIM(E67)&lt;&gt;"",COUNTA($E$10:E67)&amp;"","")</f>
        <v>58</v>
      </c>
      <c r="B67" s="31" t="s">
        <v>97</v>
      </c>
      <c r="C67" s="25" t="s">
        <v>3</v>
      </c>
      <c r="D67" s="37">
        <v>1.03</v>
      </c>
      <c r="E67" s="45">
        <f>ROUND((1.19*4.81)*2*D67*E57,2)</f>
        <v>23.58</v>
      </c>
      <c r="F67" s="27">
        <f t="shared" si="40"/>
        <v>0</v>
      </c>
      <c r="G67" s="27"/>
      <c r="H67" s="90"/>
      <c r="I67" s="27">
        <f t="shared" si="41"/>
        <v>0</v>
      </c>
      <c r="J67" s="27"/>
      <c r="K67" s="27">
        <f t="shared" si="42"/>
        <v>0</v>
      </c>
      <c r="L67" s="30" t="s">
        <v>11</v>
      </c>
      <c r="N67" s="4"/>
    </row>
    <row r="68" spans="1:14" ht="25.5" x14ac:dyDescent="0.25">
      <c r="A68" s="23" t="str">
        <f>IF(TRIM(E68)&lt;&gt;"",COUNTA($E$10:E68)&amp;"","")</f>
        <v>59</v>
      </c>
      <c r="B68" s="31" t="s">
        <v>62</v>
      </c>
      <c r="C68" s="25" t="s">
        <v>3</v>
      </c>
      <c r="D68" s="37">
        <v>1.03</v>
      </c>
      <c r="E68" s="45">
        <f>ROUND((0.73*4.81)*2*D68*E57,2)</f>
        <v>14.47</v>
      </c>
      <c r="F68" s="27">
        <f t="shared" si="40"/>
        <v>0</v>
      </c>
      <c r="G68" s="27"/>
      <c r="H68" s="90"/>
      <c r="I68" s="27">
        <f t="shared" si="41"/>
        <v>0</v>
      </c>
      <c r="J68" s="27"/>
      <c r="K68" s="27">
        <f t="shared" si="42"/>
        <v>0</v>
      </c>
      <c r="L68" s="30" t="s">
        <v>11</v>
      </c>
      <c r="N68" s="4"/>
    </row>
    <row r="69" spans="1:14" ht="25.5" x14ac:dyDescent="0.25">
      <c r="A69" s="23" t="str">
        <f>IF(TRIM(E69)&lt;&gt;"",COUNTA($E$10:E69)&amp;"","")</f>
        <v>60</v>
      </c>
      <c r="B69" s="31" t="s">
        <v>98</v>
      </c>
      <c r="C69" s="25" t="s">
        <v>3</v>
      </c>
      <c r="D69" s="37">
        <v>1.03</v>
      </c>
      <c r="E69" s="45">
        <f>ROUND((0.29*4.81)*2*D69*E57,2)</f>
        <v>5.75</v>
      </c>
      <c r="F69" s="27">
        <f t="shared" si="40"/>
        <v>0</v>
      </c>
      <c r="G69" s="27"/>
      <c r="H69" s="90"/>
      <c r="I69" s="27">
        <f t="shared" si="41"/>
        <v>0</v>
      </c>
      <c r="J69" s="27"/>
      <c r="K69" s="27">
        <f t="shared" si="42"/>
        <v>0</v>
      </c>
      <c r="L69" s="30" t="s">
        <v>11</v>
      </c>
      <c r="N69" s="4"/>
    </row>
    <row r="70" spans="1:14" ht="25.5" x14ac:dyDescent="0.25">
      <c r="A70" s="23" t="str">
        <f>IF(TRIM(E70)&lt;&gt;"",COUNTA($E$10:E70)&amp;"","")</f>
        <v>61</v>
      </c>
      <c r="B70" s="43" t="s">
        <v>114</v>
      </c>
      <c r="C70" s="19" t="s">
        <v>1</v>
      </c>
      <c r="D70" s="38"/>
      <c r="E70" s="21">
        <f>(8.7+2.2+1.26+1.1)/2*E57</f>
        <v>13.259999999999998</v>
      </c>
      <c r="F70" s="21">
        <f>G70+H70</f>
        <v>0</v>
      </c>
      <c r="G70" s="89"/>
      <c r="H70" s="21"/>
      <c r="I70" s="21">
        <f>J70+K70</f>
        <v>0</v>
      </c>
      <c r="J70" s="39">
        <f>ROUND(G70*E70,2)</f>
        <v>0</v>
      </c>
      <c r="K70" s="21"/>
      <c r="L70" s="40"/>
      <c r="N70" s="4"/>
    </row>
    <row r="71" spans="1:14" ht="25.5" x14ac:dyDescent="0.25">
      <c r="A71" s="23" t="str">
        <f>IF(TRIM(E71)&lt;&gt;"",COUNTA($E$10:E71)&amp;"","")</f>
        <v>62</v>
      </c>
      <c r="B71" s="31" t="s">
        <v>170</v>
      </c>
      <c r="C71" s="25" t="s">
        <v>3</v>
      </c>
      <c r="D71" s="37">
        <v>0.24</v>
      </c>
      <c r="E71" s="45">
        <f>ROUND((8.7+2.2+1.26+1.1)/2*D71*E57,2)</f>
        <v>3.18</v>
      </c>
      <c r="F71" s="27">
        <f t="shared" ref="F71:F72" si="43">G71+H71</f>
        <v>0</v>
      </c>
      <c r="G71" s="27"/>
      <c r="H71" s="90"/>
      <c r="I71" s="27">
        <f t="shared" ref="I71:I72" si="44">J71+K71</f>
        <v>0</v>
      </c>
      <c r="J71" s="27"/>
      <c r="K71" s="27">
        <f t="shared" ref="K71:K72" si="45">ROUND(H71*E71,2)</f>
        <v>0</v>
      </c>
      <c r="L71" s="30" t="s">
        <v>11</v>
      </c>
      <c r="N71" s="4"/>
    </row>
    <row r="72" spans="1:14" ht="25.5" x14ac:dyDescent="0.25">
      <c r="A72" s="23" t="str">
        <f>IF(TRIM(E72)&lt;&gt;"",COUNTA($E$10:E72)&amp;"","")</f>
        <v>63</v>
      </c>
      <c r="B72" s="31" t="s">
        <v>64</v>
      </c>
      <c r="C72" s="25" t="s">
        <v>3</v>
      </c>
      <c r="D72" s="37">
        <v>0.3</v>
      </c>
      <c r="E72" s="45">
        <f>ROUND((8.7+2.2+1.26+1.1)/2*D72*E57,2)</f>
        <v>3.98</v>
      </c>
      <c r="F72" s="27">
        <f t="shared" si="43"/>
        <v>0</v>
      </c>
      <c r="G72" s="27"/>
      <c r="H72" s="90"/>
      <c r="I72" s="27">
        <f t="shared" si="44"/>
        <v>0</v>
      </c>
      <c r="J72" s="27"/>
      <c r="K72" s="27">
        <f t="shared" si="45"/>
        <v>0</v>
      </c>
      <c r="L72" s="30" t="s">
        <v>11</v>
      </c>
      <c r="N72" s="4"/>
    </row>
    <row r="73" spans="1:14" x14ac:dyDescent="0.25">
      <c r="A73" s="23" t="str">
        <f>IF(TRIM(E73)&lt;&gt;"",COUNTA($E$10:E73)&amp;"","")</f>
        <v>64</v>
      </c>
      <c r="B73" s="18" t="s">
        <v>123</v>
      </c>
      <c r="C73" s="19" t="s">
        <v>23</v>
      </c>
      <c r="D73" s="20"/>
      <c r="E73" s="21">
        <f>6.6+51.63+12.54+7.54+28.36+3+14.65+6.6+51.63+16.54+3.51+30.94+15.52</f>
        <v>249.06</v>
      </c>
      <c r="F73" s="21">
        <f>G73+H73</f>
        <v>0</v>
      </c>
      <c r="G73" s="89"/>
      <c r="H73" s="21"/>
      <c r="I73" s="21">
        <f>J73+K73</f>
        <v>0</v>
      </c>
      <c r="J73" s="39">
        <f>ROUND(G73*E73,2)</f>
        <v>0</v>
      </c>
      <c r="K73" s="21"/>
      <c r="L73" s="22"/>
      <c r="N73" s="4"/>
    </row>
    <row r="74" spans="1:14" ht="25.5" x14ac:dyDescent="0.25">
      <c r="A74" s="23" t="str">
        <f>IF(TRIM(E74)&lt;&gt;"",COUNTA($E$10:E74)&amp;"","")</f>
        <v>65</v>
      </c>
      <c r="B74" s="24" t="s">
        <v>25</v>
      </c>
      <c r="C74" s="26" t="s">
        <v>0</v>
      </c>
      <c r="D74" s="26">
        <v>5</v>
      </c>
      <c r="E74" s="41">
        <f>ROUND(E73*D74,0)</f>
        <v>1245</v>
      </c>
      <c r="F74" s="27">
        <f t="shared" ref="F74:F89" si="46">G74+H74</f>
        <v>0</v>
      </c>
      <c r="G74" s="27"/>
      <c r="H74" s="90"/>
      <c r="I74" s="27">
        <f t="shared" ref="I74:I89" si="47">J74+K74</f>
        <v>0</v>
      </c>
      <c r="J74" s="27"/>
      <c r="K74" s="27">
        <f t="shared" ref="K74:K89" si="48">ROUND(H74*E74,2)</f>
        <v>0</v>
      </c>
      <c r="L74" s="26" t="s">
        <v>11</v>
      </c>
      <c r="N74" s="4"/>
    </row>
    <row r="75" spans="1:14" ht="25.5" x14ac:dyDescent="0.25">
      <c r="A75" s="23" t="str">
        <f>IF(TRIM(E75)&lt;&gt;"",COUNTA($E$10:E75)&amp;"","")</f>
        <v>66</v>
      </c>
      <c r="B75" s="24" t="s">
        <v>99</v>
      </c>
      <c r="C75" s="25" t="s">
        <v>23</v>
      </c>
      <c r="D75" s="26">
        <v>1.1000000000000001</v>
      </c>
      <c r="E75" s="27">
        <f>(6.6*2)*D75</f>
        <v>14.52</v>
      </c>
      <c r="F75" s="27">
        <f t="shared" si="46"/>
        <v>0</v>
      </c>
      <c r="G75" s="27"/>
      <c r="H75" s="90"/>
      <c r="I75" s="27">
        <f t="shared" si="47"/>
        <v>0</v>
      </c>
      <c r="J75" s="27"/>
      <c r="K75" s="27">
        <f t="shared" si="48"/>
        <v>0</v>
      </c>
      <c r="L75" s="28" t="s">
        <v>11</v>
      </c>
      <c r="N75" s="4"/>
    </row>
    <row r="76" spans="1:14" ht="25.5" x14ac:dyDescent="0.25">
      <c r="A76" s="23" t="str">
        <f>IF(TRIM(E76)&lt;&gt;"",COUNTA($E$10:E76)&amp;"","")</f>
        <v>67</v>
      </c>
      <c r="B76" s="24" t="s">
        <v>100</v>
      </c>
      <c r="C76" s="25" t="s">
        <v>23</v>
      </c>
      <c r="D76" s="26">
        <v>1.1000000000000001</v>
      </c>
      <c r="E76" s="27">
        <f>(51.63*2)*D76</f>
        <v>113.58600000000001</v>
      </c>
      <c r="F76" s="27">
        <f t="shared" si="46"/>
        <v>0</v>
      </c>
      <c r="G76" s="27"/>
      <c r="H76" s="90"/>
      <c r="I76" s="27">
        <f t="shared" si="47"/>
        <v>0</v>
      </c>
      <c r="J76" s="27"/>
      <c r="K76" s="27">
        <f t="shared" si="48"/>
        <v>0</v>
      </c>
      <c r="L76" s="28" t="s">
        <v>11</v>
      </c>
      <c r="N76" s="4"/>
    </row>
    <row r="77" spans="1:14" ht="25.5" x14ac:dyDescent="0.25">
      <c r="A77" s="23" t="str">
        <f>IF(TRIM(E77)&lt;&gt;"",COUNTA($E$10:E77)&amp;"","")</f>
        <v>68</v>
      </c>
      <c r="B77" s="24" t="s">
        <v>101</v>
      </c>
      <c r="C77" s="25" t="s">
        <v>23</v>
      </c>
      <c r="D77" s="26">
        <v>1.1000000000000001</v>
      </c>
      <c r="E77" s="27">
        <f>(12.54+16.54)*D77</f>
        <v>31.988</v>
      </c>
      <c r="F77" s="27">
        <f t="shared" si="46"/>
        <v>0</v>
      </c>
      <c r="G77" s="27"/>
      <c r="H77" s="90"/>
      <c r="I77" s="27">
        <f t="shared" si="47"/>
        <v>0</v>
      </c>
      <c r="J77" s="27"/>
      <c r="K77" s="27">
        <f t="shared" si="48"/>
        <v>0</v>
      </c>
      <c r="L77" s="28" t="s">
        <v>11</v>
      </c>
      <c r="N77" s="4"/>
    </row>
    <row r="78" spans="1:14" ht="25.5" x14ac:dyDescent="0.25">
      <c r="A78" s="23" t="str">
        <f>IF(TRIM(E78)&lt;&gt;"",COUNTA($E$10:E78)&amp;"","")</f>
        <v>69</v>
      </c>
      <c r="B78" s="24" t="s">
        <v>102</v>
      </c>
      <c r="C78" s="25" t="s">
        <v>23</v>
      </c>
      <c r="D78" s="26">
        <v>1.1000000000000001</v>
      </c>
      <c r="E78" s="27">
        <f>(7.54+3.51)*D78</f>
        <v>12.155000000000001</v>
      </c>
      <c r="F78" s="27">
        <f t="shared" si="46"/>
        <v>0</v>
      </c>
      <c r="G78" s="27"/>
      <c r="H78" s="90"/>
      <c r="I78" s="27">
        <f t="shared" si="47"/>
        <v>0</v>
      </c>
      <c r="J78" s="27"/>
      <c r="K78" s="27">
        <f t="shared" si="48"/>
        <v>0</v>
      </c>
      <c r="L78" s="28" t="s">
        <v>11</v>
      </c>
      <c r="N78" s="4"/>
    </row>
    <row r="79" spans="1:14" ht="25.5" x14ac:dyDescent="0.25">
      <c r="A79" s="23" t="str">
        <f>IF(TRIM(E79)&lt;&gt;"",COUNTA($E$10:E79)&amp;"","")</f>
        <v>70</v>
      </c>
      <c r="B79" s="24" t="s">
        <v>103</v>
      </c>
      <c r="C79" s="25" t="s">
        <v>23</v>
      </c>
      <c r="D79" s="26">
        <v>1.1000000000000001</v>
      </c>
      <c r="E79" s="27">
        <f>(28.36+30.4)*D79</f>
        <v>64.63600000000001</v>
      </c>
      <c r="F79" s="27">
        <f t="shared" si="46"/>
        <v>0</v>
      </c>
      <c r="G79" s="27"/>
      <c r="H79" s="90"/>
      <c r="I79" s="27">
        <f t="shared" si="47"/>
        <v>0</v>
      </c>
      <c r="J79" s="27"/>
      <c r="K79" s="27">
        <f t="shared" si="48"/>
        <v>0</v>
      </c>
      <c r="L79" s="28" t="s">
        <v>11</v>
      </c>
      <c r="N79" s="4"/>
    </row>
    <row r="80" spans="1:14" ht="25.5" x14ac:dyDescent="0.25">
      <c r="A80" s="23" t="str">
        <f>IF(TRIM(E80)&lt;&gt;"",COUNTA($E$10:E80)&amp;"","")</f>
        <v>71</v>
      </c>
      <c r="B80" s="24" t="s">
        <v>104</v>
      </c>
      <c r="C80" s="25" t="s">
        <v>23</v>
      </c>
      <c r="D80" s="26">
        <v>1.1000000000000001</v>
      </c>
      <c r="E80" s="27">
        <f>3*D80</f>
        <v>3.3000000000000003</v>
      </c>
      <c r="F80" s="27">
        <f t="shared" si="46"/>
        <v>0</v>
      </c>
      <c r="G80" s="27"/>
      <c r="H80" s="90"/>
      <c r="I80" s="27">
        <f t="shared" si="47"/>
        <v>0</v>
      </c>
      <c r="J80" s="27"/>
      <c r="K80" s="27">
        <f t="shared" si="48"/>
        <v>0</v>
      </c>
      <c r="L80" s="28" t="s">
        <v>11</v>
      </c>
      <c r="N80" s="4"/>
    </row>
    <row r="81" spans="1:14" ht="25.5" x14ac:dyDescent="0.25">
      <c r="A81" s="23" t="str">
        <f>IF(TRIM(E81)&lt;&gt;"",COUNTA($E$10:E81)&amp;"","")</f>
        <v>72</v>
      </c>
      <c r="B81" s="24" t="s">
        <v>112</v>
      </c>
      <c r="C81" s="25" t="s">
        <v>23</v>
      </c>
      <c r="D81" s="26">
        <v>1.1000000000000001</v>
      </c>
      <c r="E81" s="27">
        <f>(14.65+15.52)*D81</f>
        <v>33.187000000000005</v>
      </c>
      <c r="F81" s="27">
        <f t="shared" si="46"/>
        <v>0</v>
      </c>
      <c r="G81" s="27"/>
      <c r="H81" s="90"/>
      <c r="I81" s="27">
        <f t="shared" si="47"/>
        <v>0</v>
      </c>
      <c r="J81" s="27"/>
      <c r="K81" s="27">
        <f t="shared" si="48"/>
        <v>0</v>
      </c>
      <c r="L81" s="28" t="s">
        <v>11</v>
      </c>
      <c r="N81" s="4"/>
    </row>
    <row r="82" spans="1:14" ht="25.5" x14ac:dyDescent="0.25">
      <c r="A82" s="23" t="str">
        <f>IF(TRIM(E82)&lt;&gt;"",COUNTA($E$10:E82)&amp;"","")</f>
        <v>73</v>
      </c>
      <c r="B82" s="24" t="s">
        <v>105</v>
      </c>
      <c r="C82" s="25" t="s">
        <v>0</v>
      </c>
      <c r="D82" s="26">
        <v>1</v>
      </c>
      <c r="E82" s="27">
        <f>10*2</f>
        <v>20</v>
      </c>
      <c r="F82" s="27">
        <f t="shared" si="46"/>
        <v>0</v>
      </c>
      <c r="G82" s="27"/>
      <c r="H82" s="90"/>
      <c r="I82" s="27">
        <f t="shared" si="47"/>
        <v>0</v>
      </c>
      <c r="J82" s="27"/>
      <c r="K82" s="27">
        <f t="shared" si="48"/>
        <v>0</v>
      </c>
      <c r="L82" s="30" t="s">
        <v>11</v>
      </c>
      <c r="M82" s="6"/>
      <c r="N82" s="4"/>
    </row>
    <row r="83" spans="1:14" ht="25.5" x14ac:dyDescent="0.25">
      <c r="A83" s="23" t="str">
        <f>IF(TRIM(E83)&lt;&gt;"",COUNTA($E$10:E83)&amp;"","")</f>
        <v>74</v>
      </c>
      <c r="B83" s="24" t="s">
        <v>106</v>
      </c>
      <c r="C83" s="25" t="s">
        <v>0</v>
      </c>
      <c r="D83" s="26">
        <v>1</v>
      </c>
      <c r="E83" s="27">
        <f>95*2</f>
        <v>190</v>
      </c>
      <c r="F83" s="27">
        <f t="shared" si="46"/>
        <v>0</v>
      </c>
      <c r="G83" s="27"/>
      <c r="H83" s="90"/>
      <c r="I83" s="27">
        <f t="shared" si="47"/>
        <v>0</v>
      </c>
      <c r="J83" s="27"/>
      <c r="K83" s="27">
        <f t="shared" si="48"/>
        <v>0</v>
      </c>
      <c r="L83" s="30" t="s">
        <v>11</v>
      </c>
      <c r="M83" s="6"/>
      <c r="N83" s="4"/>
    </row>
    <row r="84" spans="1:14" ht="25.5" x14ac:dyDescent="0.25">
      <c r="A84" s="23" t="str">
        <f>IF(TRIM(E84)&lt;&gt;"",COUNTA($E$10:E84)&amp;"","")</f>
        <v>75</v>
      </c>
      <c r="B84" s="24" t="s">
        <v>107</v>
      </c>
      <c r="C84" s="25" t="s">
        <v>0</v>
      </c>
      <c r="D84" s="26">
        <v>1</v>
      </c>
      <c r="E84" s="27">
        <f>19+24</f>
        <v>43</v>
      </c>
      <c r="F84" s="27">
        <f t="shared" si="46"/>
        <v>0</v>
      </c>
      <c r="G84" s="27"/>
      <c r="H84" s="90"/>
      <c r="I84" s="27">
        <f t="shared" si="47"/>
        <v>0</v>
      </c>
      <c r="J84" s="27"/>
      <c r="K84" s="27">
        <f t="shared" si="48"/>
        <v>0</v>
      </c>
      <c r="L84" s="30" t="s">
        <v>11</v>
      </c>
      <c r="M84" s="6"/>
      <c r="N84" s="4"/>
    </row>
    <row r="85" spans="1:14" ht="25.5" x14ac:dyDescent="0.25">
      <c r="A85" s="23" t="str">
        <f>IF(TRIM(E85)&lt;&gt;"",COUNTA($E$10:E85)&amp;"","")</f>
        <v>76</v>
      </c>
      <c r="B85" s="24" t="s">
        <v>108</v>
      </c>
      <c r="C85" s="25" t="s">
        <v>0</v>
      </c>
      <c r="D85" s="26">
        <v>1</v>
      </c>
      <c r="E85" s="27">
        <f>11+6</f>
        <v>17</v>
      </c>
      <c r="F85" s="27">
        <f t="shared" si="46"/>
        <v>0</v>
      </c>
      <c r="G85" s="27"/>
      <c r="H85" s="90"/>
      <c r="I85" s="27">
        <f t="shared" si="47"/>
        <v>0</v>
      </c>
      <c r="J85" s="27"/>
      <c r="K85" s="27">
        <f t="shared" si="48"/>
        <v>0</v>
      </c>
      <c r="L85" s="30" t="s">
        <v>11</v>
      </c>
      <c r="M85" s="6"/>
      <c r="N85" s="4"/>
    </row>
    <row r="86" spans="1:14" ht="25.5" x14ac:dyDescent="0.25">
      <c r="A86" s="23" t="str">
        <f>IF(TRIM(E86)&lt;&gt;"",COUNTA($E$10:E86)&amp;"","")</f>
        <v>77</v>
      </c>
      <c r="B86" s="24" t="s">
        <v>109</v>
      </c>
      <c r="C86" s="25" t="s">
        <v>0</v>
      </c>
      <c r="D86" s="26">
        <v>1</v>
      </c>
      <c r="E86" s="27">
        <f>54+60</f>
        <v>114</v>
      </c>
      <c r="F86" s="27">
        <f t="shared" si="46"/>
        <v>0</v>
      </c>
      <c r="G86" s="27"/>
      <c r="H86" s="90"/>
      <c r="I86" s="27">
        <f t="shared" si="47"/>
        <v>0</v>
      </c>
      <c r="J86" s="27"/>
      <c r="K86" s="27">
        <f t="shared" si="48"/>
        <v>0</v>
      </c>
      <c r="L86" s="30" t="s">
        <v>11</v>
      </c>
      <c r="M86" s="6"/>
      <c r="N86" s="4"/>
    </row>
    <row r="87" spans="1:14" ht="25.5" x14ac:dyDescent="0.25">
      <c r="A87" s="23" t="str">
        <f>IF(TRIM(E87)&lt;&gt;"",COUNTA($E$10:E87)&amp;"","")</f>
        <v>78</v>
      </c>
      <c r="B87" s="24" t="s">
        <v>110</v>
      </c>
      <c r="C87" s="25" t="s">
        <v>0</v>
      </c>
      <c r="D87" s="26">
        <v>1</v>
      </c>
      <c r="E87" s="27">
        <f>6</f>
        <v>6</v>
      </c>
      <c r="F87" s="27">
        <f t="shared" si="46"/>
        <v>0</v>
      </c>
      <c r="G87" s="27"/>
      <c r="H87" s="90"/>
      <c r="I87" s="27">
        <f t="shared" si="47"/>
        <v>0</v>
      </c>
      <c r="J87" s="27"/>
      <c r="K87" s="27">
        <f t="shared" si="48"/>
        <v>0</v>
      </c>
      <c r="L87" s="30" t="s">
        <v>11</v>
      </c>
      <c r="M87" s="6"/>
      <c r="N87" s="4"/>
    </row>
    <row r="88" spans="1:14" ht="25.5" x14ac:dyDescent="0.25">
      <c r="A88" s="23" t="str">
        <f>IF(TRIM(E88)&lt;&gt;"",COUNTA($E$10:E88)&amp;"","")</f>
        <v>79</v>
      </c>
      <c r="B88" s="24" t="s">
        <v>111</v>
      </c>
      <c r="C88" s="25" t="s">
        <v>0</v>
      </c>
      <c r="D88" s="26">
        <v>1</v>
      </c>
      <c r="E88" s="27">
        <f>3+3</f>
        <v>6</v>
      </c>
      <c r="F88" s="27">
        <f t="shared" si="46"/>
        <v>0</v>
      </c>
      <c r="G88" s="27"/>
      <c r="H88" s="90"/>
      <c r="I88" s="27">
        <f t="shared" si="47"/>
        <v>0</v>
      </c>
      <c r="J88" s="27"/>
      <c r="K88" s="27">
        <f t="shared" si="48"/>
        <v>0</v>
      </c>
      <c r="L88" s="30" t="s">
        <v>11</v>
      </c>
      <c r="M88" s="6"/>
      <c r="N88" s="4"/>
    </row>
    <row r="89" spans="1:14" ht="25.5" x14ac:dyDescent="0.25">
      <c r="A89" s="23" t="str">
        <f>IF(TRIM(E89)&lt;&gt;"",COUNTA($E$10:E89)&amp;"","")</f>
        <v>80</v>
      </c>
      <c r="B89" s="24" t="s">
        <v>21</v>
      </c>
      <c r="C89" s="25" t="s">
        <v>22</v>
      </c>
      <c r="D89" s="34">
        <v>1.0149999999999999</v>
      </c>
      <c r="E89" s="27">
        <f>(E73)*0.48*((0.05+0.093)/2)*D89</f>
        <v>8.675955287999999</v>
      </c>
      <c r="F89" s="27">
        <f t="shared" si="46"/>
        <v>0</v>
      </c>
      <c r="G89" s="27"/>
      <c r="H89" s="90"/>
      <c r="I89" s="27">
        <f t="shared" si="47"/>
        <v>0</v>
      </c>
      <c r="J89" s="27"/>
      <c r="K89" s="27">
        <f t="shared" si="48"/>
        <v>0</v>
      </c>
      <c r="L89" s="30" t="s">
        <v>11</v>
      </c>
      <c r="N89" s="4"/>
    </row>
    <row r="90" spans="1:14" x14ac:dyDescent="0.25">
      <c r="A90" s="23" t="str">
        <f>IF(TRIM(E90)&lt;&gt;"",COUNTA($E$10:E90)&amp;"","")</f>
        <v>81</v>
      </c>
      <c r="B90" s="18" t="s">
        <v>53</v>
      </c>
      <c r="C90" s="19" t="s">
        <v>23</v>
      </c>
      <c r="D90" s="20"/>
      <c r="E90" s="21">
        <f>1.61*2</f>
        <v>3.22</v>
      </c>
      <c r="F90" s="21">
        <f>G90+H90</f>
        <v>0</v>
      </c>
      <c r="G90" s="89"/>
      <c r="H90" s="21"/>
      <c r="I90" s="21">
        <f>J90+K90</f>
        <v>0</v>
      </c>
      <c r="J90" s="39">
        <f>ROUND(G90*E90,2)</f>
        <v>0</v>
      </c>
      <c r="K90" s="21"/>
      <c r="L90" s="22"/>
      <c r="N90" s="4"/>
    </row>
    <row r="91" spans="1:14" ht="25.5" x14ac:dyDescent="0.25">
      <c r="A91" s="23" t="str">
        <f>IF(TRIM(E91)&lt;&gt;"",COUNTA($E$10:E91)&amp;"","")</f>
        <v>82</v>
      </c>
      <c r="B91" s="24" t="s">
        <v>25</v>
      </c>
      <c r="C91" s="26" t="s">
        <v>0</v>
      </c>
      <c r="D91" s="26">
        <v>5</v>
      </c>
      <c r="E91" s="41">
        <f>ROUND(E90*D91,0)</f>
        <v>16</v>
      </c>
      <c r="F91" s="27">
        <f t="shared" ref="F91:F92" si="49">G91+H91</f>
        <v>0</v>
      </c>
      <c r="G91" s="27"/>
      <c r="H91" s="90"/>
      <c r="I91" s="27">
        <f t="shared" ref="I91:I92" si="50">J91+K91</f>
        <v>0</v>
      </c>
      <c r="J91" s="27"/>
      <c r="K91" s="27">
        <f t="shared" ref="K91:K92" si="51">ROUND(H91*E91,2)</f>
        <v>0</v>
      </c>
      <c r="L91" s="26" t="s">
        <v>11</v>
      </c>
      <c r="N91" s="4"/>
    </row>
    <row r="92" spans="1:14" ht="25.5" x14ac:dyDescent="0.25">
      <c r="A92" s="23" t="str">
        <f>IF(TRIM(E92)&lt;&gt;"",COUNTA($E$10:E92)&amp;"","")</f>
        <v>83</v>
      </c>
      <c r="B92" s="24" t="s">
        <v>113</v>
      </c>
      <c r="C92" s="25" t="s">
        <v>23</v>
      </c>
      <c r="D92" s="26">
        <v>1.1000000000000001</v>
      </c>
      <c r="E92" s="27">
        <f>E90*D92</f>
        <v>3.5420000000000007</v>
      </c>
      <c r="F92" s="27">
        <f t="shared" si="49"/>
        <v>0</v>
      </c>
      <c r="G92" s="27"/>
      <c r="H92" s="90"/>
      <c r="I92" s="27">
        <f t="shared" si="50"/>
        <v>0</v>
      </c>
      <c r="J92" s="27"/>
      <c r="K92" s="27">
        <f t="shared" si="51"/>
        <v>0</v>
      </c>
      <c r="L92" s="28" t="s">
        <v>11</v>
      </c>
      <c r="N92" s="4"/>
    </row>
    <row r="93" spans="1:14" ht="51" x14ac:dyDescent="0.25">
      <c r="A93" s="23" t="str">
        <f>IF(TRIM(E93)&lt;&gt;"",COUNTA($E$10:E93)&amp;"","")</f>
        <v>84</v>
      </c>
      <c r="B93" s="42" t="s">
        <v>124</v>
      </c>
      <c r="C93" s="19" t="s">
        <v>0</v>
      </c>
      <c r="D93" s="20"/>
      <c r="E93" s="21">
        <f>SUM(E94:E97)</f>
        <v>5</v>
      </c>
      <c r="F93" s="21">
        <f>G93+H93</f>
        <v>0</v>
      </c>
      <c r="G93" s="89"/>
      <c r="H93" s="21"/>
      <c r="I93" s="21">
        <f>J93+K93</f>
        <v>0</v>
      </c>
      <c r="J93" s="39">
        <f>ROUND(G93*E93,2)</f>
        <v>0</v>
      </c>
      <c r="K93" s="21"/>
      <c r="L93" s="22"/>
      <c r="N93" s="4"/>
    </row>
    <row r="94" spans="1:14" ht="25.5" x14ac:dyDescent="0.25">
      <c r="A94" s="23" t="str">
        <f>IF(TRIM(E94)&lt;&gt;"",COUNTA($E$10:E94)&amp;"","")</f>
        <v>85</v>
      </c>
      <c r="B94" s="24" t="s">
        <v>177</v>
      </c>
      <c r="C94" s="25" t="s">
        <v>0</v>
      </c>
      <c r="D94" s="26">
        <v>1</v>
      </c>
      <c r="E94" s="27">
        <v>1</v>
      </c>
      <c r="F94" s="27">
        <f t="shared" ref="F94:F97" si="52">G94+H94</f>
        <v>0</v>
      </c>
      <c r="G94" s="27"/>
      <c r="H94" s="90"/>
      <c r="I94" s="27">
        <f t="shared" ref="I94:I97" si="53">J94+K94</f>
        <v>0</v>
      </c>
      <c r="J94" s="27"/>
      <c r="K94" s="27">
        <f t="shared" ref="K94:K97" si="54">ROUND(H94*E94,2)</f>
        <v>0</v>
      </c>
      <c r="L94" s="28" t="s">
        <v>11</v>
      </c>
      <c r="N94" s="4"/>
    </row>
    <row r="95" spans="1:14" ht="25.5" x14ac:dyDescent="0.25">
      <c r="A95" s="23" t="str">
        <f>IF(TRIM(E95)&lt;&gt;"",COUNTA($E$10:E95)&amp;"","")</f>
        <v>86</v>
      </c>
      <c r="B95" s="24" t="s">
        <v>178</v>
      </c>
      <c r="C95" s="25" t="s">
        <v>0</v>
      </c>
      <c r="D95" s="26">
        <v>1</v>
      </c>
      <c r="E95" s="27">
        <v>2</v>
      </c>
      <c r="F95" s="27">
        <f t="shared" si="52"/>
        <v>0</v>
      </c>
      <c r="G95" s="27"/>
      <c r="H95" s="90"/>
      <c r="I95" s="27">
        <f t="shared" si="53"/>
        <v>0</v>
      </c>
      <c r="J95" s="27"/>
      <c r="K95" s="27">
        <f t="shared" si="54"/>
        <v>0</v>
      </c>
      <c r="L95" s="28" t="s">
        <v>11</v>
      </c>
      <c r="N95" s="4"/>
    </row>
    <row r="96" spans="1:14" ht="25.5" x14ac:dyDescent="0.25">
      <c r="A96" s="23"/>
      <c r="B96" s="24" t="s">
        <v>179</v>
      </c>
      <c r="C96" s="25" t="s">
        <v>0</v>
      </c>
      <c r="D96" s="26">
        <v>1</v>
      </c>
      <c r="E96" s="27">
        <v>1</v>
      </c>
      <c r="F96" s="27">
        <f t="shared" si="52"/>
        <v>0</v>
      </c>
      <c r="G96" s="27"/>
      <c r="H96" s="90"/>
      <c r="I96" s="27">
        <f t="shared" si="53"/>
        <v>0</v>
      </c>
      <c r="J96" s="27"/>
      <c r="K96" s="27">
        <f t="shared" si="54"/>
        <v>0</v>
      </c>
      <c r="L96" s="28" t="s">
        <v>11</v>
      </c>
      <c r="N96" s="4"/>
    </row>
    <row r="97" spans="1:14" ht="25.5" x14ac:dyDescent="0.25">
      <c r="A97" s="23"/>
      <c r="B97" s="24" t="s">
        <v>180</v>
      </c>
      <c r="C97" s="25" t="s">
        <v>0</v>
      </c>
      <c r="D97" s="26">
        <v>1</v>
      </c>
      <c r="E97" s="27">
        <v>1</v>
      </c>
      <c r="F97" s="27">
        <f t="shared" si="52"/>
        <v>0</v>
      </c>
      <c r="G97" s="27"/>
      <c r="H97" s="90"/>
      <c r="I97" s="27">
        <f t="shared" si="53"/>
        <v>0</v>
      </c>
      <c r="J97" s="27"/>
      <c r="K97" s="27">
        <f t="shared" si="54"/>
        <v>0</v>
      </c>
      <c r="L97" s="28" t="s">
        <v>11</v>
      </c>
      <c r="N97" s="4"/>
    </row>
    <row r="98" spans="1:14" ht="51" x14ac:dyDescent="0.25">
      <c r="A98" s="23" t="str">
        <f>IF(TRIM(E98)&lt;&gt;"",COUNTA($E$10:E98)&amp;"","")</f>
        <v>89</v>
      </c>
      <c r="B98" s="42" t="s">
        <v>141</v>
      </c>
      <c r="C98" s="19" t="s">
        <v>0</v>
      </c>
      <c r="D98" s="20"/>
      <c r="E98" s="21">
        <f>SUM(E99:E100)</f>
        <v>3</v>
      </c>
      <c r="F98" s="21">
        <f>G98+H98</f>
        <v>0</v>
      </c>
      <c r="G98" s="89"/>
      <c r="H98" s="21"/>
      <c r="I98" s="21">
        <f>J98+K98</f>
        <v>0</v>
      </c>
      <c r="J98" s="39">
        <f>ROUND(G98*E98,2)</f>
        <v>0</v>
      </c>
      <c r="K98" s="21"/>
      <c r="L98" s="22"/>
      <c r="N98" s="4"/>
    </row>
    <row r="99" spans="1:14" ht="25.5" x14ac:dyDescent="0.25">
      <c r="A99" s="23" t="str">
        <f>IF(TRIM(E99)&lt;&gt;"",COUNTA($E$10:E99)&amp;"","")</f>
        <v>90</v>
      </c>
      <c r="B99" s="24" t="s">
        <v>181</v>
      </c>
      <c r="C99" s="25" t="s">
        <v>0</v>
      </c>
      <c r="D99" s="26">
        <v>1</v>
      </c>
      <c r="E99" s="27">
        <v>1</v>
      </c>
      <c r="F99" s="27">
        <f t="shared" ref="F99:F100" si="55">G99+H99</f>
        <v>0</v>
      </c>
      <c r="G99" s="27"/>
      <c r="H99" s="90"/>
      <c r="I99" s="27">
        <f t="shared" ref="I99:I100" si="56">J99+K99</f>
        <v>0</v>
      </c>
      <c r="J99" s="27"/>
      <c r="K99" s="27">
        <f t="shared" ref="K99:K100" si="57">ROUND(H99*E99,2)</f>
        <v>0</v>
      </c>
      <c r="L99" s="28" t="s">
        <v>11</v>
      </c>
      <c r="N99" s="4"/>
    </row>
    <row r="100" spans="1:14" ht="25.5" x14ac:dyDescent="0.25">
      <c r="A100" s="23" t="str">
        <f>IF(TRIM(E100)&lt;&gt;"",COUNTA($E$10:E100)&amp;"","")</f>
        <v>91</v>
      </c>
      <c r="B100" s="24" t="s">
        <v>182</v>
      </c>
      <c r="C100" s="25" t="s">
        <v>0</v>
      </c>
      <c r="D100" s="26">
        <v>1</v>
      </c>
      <c r="E100" s="27">
        <v>2</v>
      </c>
      <c r="F100" s="27">
        <f t="shared" si="55"/>
        <v>0</v>
      </c>
      <c r="G100" s="27"/>
      <c r="H100" s="90"/>
      <c r="I100" s="27">
        <f t="shared" si="56"/>
        <v>0</v>
      </c>
      <c r="J100" s="27"/>
      <c r="K100" s="27">
        <f t="shared" si="57"/>
        <v>0</v>
      </c>
      <c r="L100" s="28" t="s">
        <v>11</v>
      </c>
      <c r="N100" s="4"/>
    </row>
    <row r="101" spans="1:14" ht="51" x14ac:dyDescent="0.25">
      <c r="A101" s="23" t="str">
        <f>IF(TRIM(E101)&lt;&gt;"",COUNTA($E$10:E101)&amp;"","")</f>
        <v>92</v>
      </c>
      <c r="B101" s="18" t="s">
        <v>125</v>
      </c>
      <c r="C101" s="19" t="s">
        <v>0</v>
      </c>
      <c r="D101" s="20"/>
      <c r="E101" s="21">
        <f>SUM(E102)</f>
        <v>2</v>
      </c>
      <c r="F101" s="21">
        <f>G101+H101</f>
        <v>0</v>
      </c>
      <c r="G101" s="89"/>
      <c r="H101" s="21"/>
      <c r="I101" s="21">
        <f>J101+K101</f>
        <v>0</v>
      </c>
      <c r="J101" s="39">
        <f>ROUND(G101*E101,2)</f>
        <v>0</v>
      </c>
      <c r="K101" s="21"/>
      <c r="L101" s="22"/>
      <c r="N101" s="4"/>
    </row>
    <row r="102" spans="1:14" ht="25.5" x14ac:dyDescent="0.25">
      <c r="A102" s="23" t="str">
        <f>IF(TRIM(E102)&lt;&gt;"",COUNTA($E$10:E102)&amp;"","")</f>
        <v>93</v>
      </c>
      <c r="B102" s="24" t="s">
        <v>183</v>
      </c>
      <c r="C102" s="25" t="s">
        <v>0</v>
      </c>
      <c r="D102" s="26">
        <v>1</v>
      </c>
      <c r="E102" s="27">
        <v>2</v>
      </c>
      <c r="F102" s="27">
        <f t="shared" ref="F102" si="58">G102+H102</f>
        <v>0</v>
      </c>
      <c r="G102" s="27"/>
      <c r="H102" s="90"/>
      <c r="I102" s="27">
        <f t="shared" ref="I102" si="59">J102+K102</f>
        <v>0</v>
      </c>
      <c r="J102" s="27"/>
      <c r="K102" s="27">
        <f>ROUND(H102*E102,2)</f>
        <v>0</v>
      </c>
      <c r="L102" s="28" t="s">
        <v>11</v>
      </c>
      <c r="N102" s="4"/>
    </row>
    <row r="103" spans="1:14" ht="51" x14ac:dyDescent="0.25">
      <c r="A103" s="23" t="str">
        <f>IF(TRIM(E103)&lt;&gt;"",COUNTA($E$10:E103)&amp;"","")</f>
        <v>94</v>
      </c>
      <c r="B103" s="18" t="s">
        <v>156</v>
      </c>
      <c r="C103" s="19" t="s">
        <v>0</v>
      </c>
      <c r="D103" s="20"/>
      <c r="E103" s="21">
        <f>SUM(E104:E105)</f>
        <v>3</v>
      </c>
      <c r="F103" s="21">
        <f>G103+H103</f>
        <v>0</v>
      </c>
      <c r="G103" s="89"/>
      <c r="H103" s="21"/>
      <c r="I103" s="21">
        <f>J103+K103</f>
        <v>0</v>
      </c>
      <c r="J103" s="39">
        <f>ROUND(G103*E103,2)</f>
        <v>0</v>
      </c>
      <c r="K103" s="21"/>
      <c r="L103" s="22"/>
      <c r="N103" s="4"/>
    </row>
    <row r="104" spans="1:14" ht="25.5" x14ac:dyDescent="0.25">
      <c r="A104" s="23" t="str">
        <f>IF(TRIM(E104)&lt;&gt;"",COUNTA($E$10:E104)&amp;"","")</f>
        <v>95</v>
      </c>
      <c r="B104" s="24" t="s">
        <v>184</v>
      </c>
      <c r="C104" s="25" t="s">
        <v>0</v>
      </c>
      <c r="D104" s="26">
        <v>1</v>
      </c>
      <c r="E104" s="27">
        <v>2</v>
      </c>
      <c r="F104" s="27">
        <f t="shared" ref="F104:F105" si="60">G104+H104</f>
        <v>0</v>
      </c>
      <c r="G104" s="27"/>
      <c r="H104" s="90"/>
      <c r="I104" s="27">
        <f t="shared" ref="I104:I105" si="61">J104+K104</f>
        <v>0</v>
      </c>
      <c r="J104" s="27"/>
      <c r="K104" s="27">
        <f t="shared" ref="K104:K105" si="62">ROUND(H104*E104,2)</f>
        <v>0</v>
      </c>
      <c r="L104" s="28" t="s">
        <v>11</v>
      </c>
      <c r="N104" s="4"/>
    </row>
    <row r="105" spans="1:14" ht="25.5" x14ac:dyDescent="0.25">
      <c r="A105" s="23" t="str">
        <f>IF(TRIM(E105)&lt;&gt;"",COUNTA($E$10:E105)&amp;"","")</f>
        <v>96</v>
      </c>
      <c r="B105" s="24" t="s">
        <v>185</v>
      </c>
      <c r="C105" s="25" t="s">
        <v>0</v>
      </c>
      <c r="D105" s="26">
        <v>1</v>
      </c>
      <c r="E105" s="27">
        <v>1</v>
      </c>
      <c r="F105" s="27">
        <f t="shared" si="60"/>
        <v>0</v>
      </c>
      <c r="G105" s="27"/>
      <c r="H105" s="90"/>
      <c r="I105" s="27">
        <f t="shared" si="61"/>
        <v>0</v>
      </c>
      <c r="J105" s="27"/>
      <c r="K105" s="27">
        <f t="shared" si="62"/>
        <v>0</v>
      </c>
      <c r="L105" s="28" t="s">
        <v>11</v>
      </c>
      <c r="N105" s="4"/>
    </row>
    <row r="106" spans="1:14" s="5" customFormat="1" x14ac:dyDescent="0.25">
      <c r="A106" s="14" t="str">
        <f>IF(TRIM(E106)&lt;&gt;"",COUNTA($E$10:E106)&amp;"","")</f>
        <v/>
      </c>
      <c r="B106" s="15" t="s">
        <v>126</v>
      </c>
      <c r="C106" s="16"/>
      <c r="D106" s="17"/>
      <c r="E106" s="17"/>
      <c r="F106" s="17"/>
      <c r="G106" s="17"/>
      <c r="H106" s="17"/>
      <c r="I106" s="17"/>
      <c r="J106" s="17"/>
      <c r="K106" s="17"/>
      <c r="L106" s="16"/>
    </row>
    <row r="107" spans="1:14" ht="25.5" x14ac:dyDescent="0.25">
      <c r="A107" s="23" t="str">
        <f>IF(TRIM(E107)&lt;&gt;"",COUNTA($E$10:E107)&amp;"","")</f>
        <v>97</v>
      </c>
      <c r="B107" s="18" t="s">
        <v>127</v>
      </c>
      <c r="C107" s="19" t="s">
        <v>1</v>
      </c>
      <c r="D107" s="20"/>
      <c r="E107" s="21">
        <f>Расчет!E6</f>
        <v>14.26</v>
      </c>
      <c r="F107" s="21">
        <f>G107+H107</f>
        <v>0</v>
      </c>
      <c r="G107" s="89"/>
      <c r="H107" s="21"/>
      <c r="I107" s="21">
        <f>J107+K107</f>
        <v>0</v>
      </c>
      <c r="J107" s="39">
        <f>ROUND(G107*E107,2)</f>
        <v>0</v>
      </c>
      <c r="K107" s="21"/>
      <c r="L107" s="22"/>
      <c r="N107" s="4"/>
    </row>
    <row r="108" spans="1:14" ht="25.5" x14ac:dyDescent="0.25">
      <c r="A108" s="23" t="str">
        <f>IF(TRIM(E108)&lt;&gt;"",COUNTA($E$10:E108)&amp;"","")</f>
        <v>98</v>
      </c>
      <c r="B108" s="24" t="s">
        <v>75</v>
      </c>
      <c r="C108" s="25" t="s">
        <v>20</v>
      </c>
      <c r="D108" s="26">
        <v>0.35</v>
      </c>
      <c r="E108" s="27">
        <f>E107*D108</f>
        <v>4.9909999999999997</v>
      </c>
      <c r="F108" s="27">
        <f t="shared" ref="F108" si="63">G108+H108</f>
        <v>0</v>
      </c>
      <c r="G108" s="27"/>
      <c r="H108" s="90"/>
      <c r="I108" s="27">
        <f t="shared" ref="I108" si="64">J108+K108</f>
        <v>0</v>
      </c>
      <c r="J108" s="27"/>
      <c r="K108" s="27">
        <f>ROUND(H108*E108,2)</f>
        <v>0</v>
      </c>
      <c r="L108" s="28" t="s">
        <v>11</v>
      </c>
      <c r="N108" s="4"/>
    </row>
    <row r="109" spans="1:14" x14ac:dyDescent="0.25">
      <c r="A109" s="23" t="str">
        <f>IF(TRIM(E109)&lt;&gt;"",COUNTA($E$10:E109)&amp;"","")</f>
        <v>99</v>
      </c>
      <c r="B109" s="18" t="s">
        <v>128</v>
      </c>
      <c r="C109" s="19" t="s">
        <v>1</v>
      </c>
      <c r="D109" s="20"/>
      <c r="E109" s="21">
        <f>E107</f>
        <v>14.26</v>
      </c>
      <c r="F109" s="21">
        <f>G109+H109</f>
        <v>0</v>
      </c>
      <c r="G109" s="89"/>
      <c r="H109" s="21"/>
      <c r="I109" s="21">
        <f>J109+K109</f>
        <v>0</v>
      </c>
      <c r="J109" s="39">
        <f>ROUND(G109*E109,2)</f>
        <v>0</v>
      </c>
      <c r="K109" s="21"/>
      <c r="L109" s="22"/>
      <c r="N109" s="4"/>
    </row>
    <row r="110" spans="1:14" ht="25.5" x14ac:dyDescent="0.25">
      <c r="A110" s="23" t="str">
        <f>IF(TRIM(E110)&lt;&gt;"",COUNTA($E$10:E110)&amp;"","")</f>
        <v>100</v>
      </c>
      <c r="B110" s="29" t="s">
        <v>76</v>
      </c>
      <c r="C110" s="25" t="s">
        <v>1</v>
      </c>
      <c r="D110" s="26">
        <v>1.1499999999999999</v>
      </c>
      <c r="E110" s="27">
        <f>E109*D110</f>
        <v>16.398999999999997</v>
      </c>
      <c r="F110" s="27">
        <f t="shared" ref="F110:F111" si="65">G110+H110</f>
        <v>0</v>
      </c>
      <c r="G110" s="27"/>
      <c r="H110" s="90"/>
      <c r="I110" s="27">
        <f t="shared" ref="I110:I111" si="66">J110+K110</f>
        <v>0</v>
      </c>
      <c r="J110" s="27"/>
      <c r="K110" s="27">
        <f t="shared" ref="K110:K111" si="67">ROUND(H110*E110,2)</f>
        <v>0</v>
      </c>
      <c r="L110" s="30" t="s">
        <v>11</v>
      </c>
      <c r="N110" s="4"/>
    </row>
    <row r="111" spans="1:14" ht="25.5" x14ac:dyDescent="0.25">
      <c r="A111" s="23" t="str">
        <f>IF(TRIM(E111)&lt;&gt;"",COUNTA($E$10:E111)&amp;"","")</f>
        <v>101</v>
      </c>
      <c r="B111" s="31" t="s">
        <v>117</v>
      </c>
      <c r="C111" s="32" t="s">
        <v>3</v>
      </c>
      <c r="D111" s="33">
        <v>0.3</v>
      </c>
      <c r="E111" s="27">
        <f>E109*D111</f>
        <v>4.2779999999999996</v>
      </c>
      <c r="F111" s="27">
        <f t="shared" si="65"/>
        <v>0</v>
      </c>
      <c r="G111" s="27"/>
      <c r="H111" s="90"/>
      <c r="I111" s="27">
        <f t="shared" si="66"/>
        <v>0</v>
      </c>
      <c r="J111" s="27"/>
      <c r="K111" s="27">
        <f t="shared" si="67"/>
        <v>0</v>
      </c>
      <c r="L111" s="30" t="s">
        <v>11</v>
      </c>
      <c r="N111" s="4"/>
    </row>
    <row r="112" spans="1:14" x14ac:dyDescent="0.25">
      <c r="A112" s="23" t="str">
        <f>IF(TRIM(E112)&lt;&gt;"",COUNTA($E$10:E112)&amp;"","")</f>
        <v>102</v>
      </c>
      <c r="B112" s="18" t="s">
        <v>81</v>
      </c>
      <c r="C112" s="19" t="s">
        <v>1</v>
      </c>
      <c r="D112" s="20"/>
      <c r="E112" s="21">
        <f>E107</f>
        <v>14.26</v>
      </c>
      <c r="F112" s="21">
        <f>G112+H112</f>
        <v>0</v>
      </c>
      <c r="G112" s="89"/>
      <c r="H112" s="21"/>
      <c r="I112" s="21">
        <f>J112+K112</f>
        <v>0</v>
      </c>
      <c r="J112" s="39">
        <f>ROUND(G112*E112,2)</f>
        <v>0</v>
      </c>
      <c r="K112" s="21"/>
      <c r="L112" s="22"/>
      <c r="N112" s="4"/>
    </row>
    <row r="113" spans="1:14" ht="25.5" x14ac:dyDescent="0.25">
      <c r="A113" s="23" t="str">
        <f>IF(TRIM(E113)&lt;&gt;"",COUNTA($E$10:E113)&amp;"","")</f>
        <v>103</v>
      </c>
      <c r="B113" s="29" t="s">
        <v>82</v>
      </c>
      <c r="C113" s="25" t="s">
        <v>22</v>
      </c>
      <c r="D113" s="26">
        <v>1.1000000000000001</v>
      </c>
      <c r="E113" s="27">
        <f>E112*0.03*D113</f>
        <v>0.47058</v>
      </c>
      <c r="F113" s="27">
        <f t="shared" ref="F113" si="68">G113+H113</f>
        <v>0</v>
      </c>
      <c r="G113" s="27"/>
      <c r="H113" s="90"/>
      <c r="I113" s="27">
        <f t="shared" ref="I113" si="69">J113+K113</f>
        <v>0</v>
      </c>
      <c r="J113" s="27"/>
      <c r="K113" s="27">
        <f>ROUND(H113*E113,2)</f>
        <v>0</v>
      </c>
      <c r="L113" s="30" t="s">
        <v>11</v>
      </c>
      <c r="N113" s="4"/>
    </row>
    <row r="114" spans="1:14" x14ac:dyDescent="0.25">
      <c r="A114" s="23" t="str">
        <f>IF(TRIM(E114)&lt;&gt;"",COUNTA($E$10:E114)&amp;"","")</f>
        <v>104</v>
      </c>
      <c r="B114" s="18" t="s">
        <v>51</v>
      </c>
      <c r="C114" s="19" t="s">
        <v>1</v>
      </c>
      <c r="D114" s="20"/>
      <c r="E114" s="21">
        <f>E112</f>
        <v>14.26</v>
      </c>
      <c r="F114" s="21">
        <f>G114+H114</f>
        <v>0</v>
      </c>
      <c r="G114" s="89"/>
      <c r="H114" s="21"/>
      <c r="I114" s="21">
        <f>J114+K114</f>
        <v>0</v>
      </c>
      <c r="J114" s="39">
        <f>ROUND(G114*E114,2)</f>
        <v>0</v>
      </c>
      <c r="K114" s="21"/>
      <c r="L114" s="22"/>
      <c r="N114" s="4"/>
    </row>
    <row r="115" spans="1:14" ht="25.5" x14ac:dyDescent="0.25">
      <c r="A115" s="23" t="str">
        <f>IF(TRIM(E115)&lt;&gt;"",COUNTA($E$10:E115)&amp;"","")</f>
        <v>105</v>
      </c>
      <c r="B115" s="29" t="s">
        <v>73</v>
      </c>
      <c r="C115" s="25" t="s">
        <v>1</v>
      </c>
      <c r="D115" s="26">
        <v>1.1499999999999999</v>
      </c>
      <c r="E115" s="27">
        <f>E114*D115</f>
        <v>16.398999999999997</v>
      </c>
      <c r="F115" s="27">
        <f t="shared" ref="F115" si="70">G115+H115</f>
        <v>0</v>
      </c>
      <c r="G115" s="27"/>
      <c r="H115" s="90"/>
      <c r="I115" s="27">
        <f t="shared" ref="I115" si="71">J115+K115</f>
        <v>0</v>
      </c>
      <c r="J115" s="27"/>
      <c r="K115" s="27">
        <f>ROUND(H115*E115,2)</f>
        <v>0</v>
      </c>
      <c r="L115" s="30" t="s">
        <v>11</v>
      </c>
      <c r="N115" s="4"/>
    </row>
    <row r="116" spans="1:14" ht="38.25" x14ac:dyDescent="0.25">
      <c r="A116" s="23" t="str">
        <f>IF(TRIM(E116)&lt;&gt;"",COUNTA($E$10:E116)&amp;"","")</f>
        <v>106</v>
      </c>
      <c r="B116" s="18" t="s">
        <v>83</v>
      </c>
      <c r="C116" s="19" t="s">
        <v>1</v>
      </c>
      <c r="D116" s="20"/>
      <c r="E116" s="21">
        <f>E107</f>
        <v>14.26</v>
      </c>
      <c r="F116" s="21">
        <f>G116+H116</f>
        <v>0</v>
      </c>
      <c r="G116" s="89"/>
      <c r="H116" s="21"/>
      <c r="I116" s="21">
        <f>J116+K116</f>
        <v>0</v>
      </c>
      <c r="J116" s="39">
        <f>ROUND(G116*E116,2)</f>
        <v>0</v>
      </c>
      <c r="K116" s="21"/>
      <c r="L116" s="22"/>
      <c r="M116" s="5"/>
      <c r="N116" s="4"/>
    </row>
    <row r="117" spans="1:14" ht="25.5" x14ac:dyDescent="0.25">
      <c r="A117" s="23" t="str">
        <f>IF(TRIM(E117)&lt;&gt;"",COUNTA($E$10:E117)&amp;"","")</f>
        <v>107</v>
      </c>
      <c r="B117" s="24" t="s">
        <v>21</v>
      </c>
      <c r="C117" s="25" t="s">
        <v>22</v>
      </c>
      <c r="D117" s="34">
        <v>1.0149999999999999</v>
      </c>
      <c r="E117" s="27">
        <f>Расчет!K9*D117</f>
        <v>0.72369499999999998</v>
      </c>
      <c r="F117" s="27">
        <f t="shared" ref="F117:F118" si="72">G117+H117</f>
        <v>0</v>
      </c>
      <c r="G117" s="27"/>
      <c r="H117" s="90"/>
      <c r="I117" s="27">
        <f t="shared" ref="I117:I118" si="73">J117+K117</f>
        <v>0</v>
      </c>
      <c r="J117" s="27"/>
      <c r="K117" s="27">
        <f t="shared" ref="K117:K118" si="74">ROUND(H117*E117,2)</f>
        <v>0</v>
      </c>
      <c r="L117" s="30" t="s">
        <v>11</v>
      </c>
      <c r="N117" s="4"/>
    </row>
    <row r="118" spans="1:14" ht="25.5" x14ac:dyDescent="0.25">
      <c r="A118" s="23" t="str">
        <f>IF(TRIM(E118)&lt;&gt;"",COUNTA($E$10:E118)&amp;"","")</f>
        <v>108</v>
      </c>
      <c r="B118" s="24" t="s">
        <v>74</v>
      </c>
      <c r="C118" s="25" t="s">
        <v>1</v>
      </c>
      <c r="D118" s="26">
        <v>1.2</v>
      </c>
      <c r="E118" s="27">
        <f>E116*D118</f>
        <v>17.111999999999998</v>
      </c>
      <c r="F118" s="27">
        <f t="shared" si="72"/>
        <v>0</v>
      </c>
      <c r="G118" s="27"/>
      <c r="H118" s="90"/>
      <c r="I118" s="27">
        <f t="shared" si="73"/>
        <v>0</v>
      </c>
      <c r="J118" s="27"/>
      <c r="K118" s="27">
        <f t="shared" si="74"/>
        <v>0</v>
      </c>
      <c r="L118" s="28" t="s">
        <v>11</v>
      </c>
      <c r="N118" s="4"/>
    </row>
    <row r="119" spans="1:14" ht="25.5" x14ac:dyDescent="0.25">
      <c r="A119" s="23" t="str">
        <f>IF(TRIM(E119)&lt;&gt;"",COUNTA($E$10:E119)&amp;"","")</f>
        <v>109</v>
      </c>
      <c r="B119" s="18" t="s">
        <v>127</v>
      </c>
      <c r="C119" s="19" t="s">
        <v>1</v>
      </c>
      <c r="D119" s="20"/>
      <c r="E119" s="21">
        <f>E107</f>
        <v>14.26</v>
      </c>
      <c r="F119" s="21">
        <f>G119+H119</f>
        <v>0</v>
      </c>
      <c r="G119" s="89"/>
      <c r="H119" s="21"/>
      <c r="I119" s="21">
        <f>J119+K119</f>
        <v>0</v>
      </c>
      <c r="J119" s="39">
        <f>ROUND(G119*E119,2)</f>
        <v>0</v>
      </c>
      <c r="K119" s="21"/>
      <c r="L119" s="22"/>
      <c r="N119" s="4"/>
    </row>
    <row r="120" spans="1:14" ht="25.5" x14ac:dyDescent="0.25">
      <c r="A120" s="23" t="str">
        <f>IF(TRIM(E120)&lt;&gt;"",COUNTA($E$10:E120)&amp;"","")</f>
        <v>110</v>
      </c>
      <c r="B120" s="24" t="s">
        <v>75</v>
      </c>
      <c r="C120" s="25" t="s">
        <v>20</v>
      </c>
      <c r="D120" s="26">
        <v>0.35</v>
      </c>
      <c r="E120" s="27">
        <f>E119*D120</f>
        <v>4.9909999999999997</v>
      </c>
      <c r="F120" s="27">
        <f t="shared" ref="F120" si="75">G120+H120</f>
        <v>0</v>
      </c>
      <c r="G120" s="27"/>
      <c r="H120" s="90"/>
      <c r="I120" s="27">
        <f t="shared" ref="I120" si="76">J120+K120</f>
        <v>0</v>
      </c>
      <c r="J120" s="27"/>
      <c r="K120" s="27">
        <f>ROUND(H120*E120,2)</f>
        <v>0</v>
      </c>
      <c r="L120" s="28" t="s">
        <v>11</v>
      </c>
      <c r="N120" s="4"/>
    </row>
    <row r="121" spans="1:14" x14ac:dyDescent="0.25">
      <c r="A121" s="23" t="str">
        <f>IF(TRIM(E121)&lt;&gt;"",COUNTA($E$10:E121)&amp;"","")</f>
        <v>111</v>
      </c>
      <c r="B121" s="18" t="s">
        <v>84</v>
      </c>
      <c r="C121" s="19" t="s">
        <v>1</v>
      </c>
      <c r="D121" s="20"/>
      <c r="E121" s="21">
        <f>E107</f>
        <v>14.26</v>
      </c>
      <c r="F121" s="21">
        <f>G121+H121</f>
        <v>0</v>
      </c>
      <c r="G121" s="89"/>
      <c r="H121" s="21"/>
      <c r="I121" s="21">
        <f>J121+K121</f>
        <v>0</v>
      </c>
      <c r="J121" s="39">
        <f>ROUND(G121*E121,2)</f>
        <v>0</v>
      </c>
      <c r="K121" s="21"/>
      <c r="L121" s="22"/>
      <c r="N121" s="4"/>
    </row>
    <row r="122" spans="1:14" ht="25.5" x14ac:dyDescent="0.25">
      <c r="A122" s="23" t="str">
        <f>IF(TRIM(E122)&lt;&gt;"",COUNTA($E$10:E122)&amp;"","")</f>
        <v>112</v>
      </c>
      <c r="B122" s="24" t="s">
        <v>85</v>
      </c>
      <c r="C122" s="25" t="s">
        <v>20</v>
      </c>
      <c r="D122" s="26">
        <f>0.35*2</f>
        <v>0.7</v>
      </c>
      <c r="E122" s="27">
        <f>E121*D122</f>
        <v>9.9819999999999993</v>
      </c>
      <c r="F122" s="27">
        <f t="shared" ref="F122" si="77">G122+H122</f>
        <v>0</v>
      </c>
      <c r="G122" s="27"/>
      <c r="H122" s="90"/>
      <c r="I122" s="27">
        <f t="shared" ref="I122" si="78">J122+K122</f>
        <v>0</v>
      </c>
      <c r="J122" s="27"/>
      <c r="K122" s="27">
        <f>ROUND(H122*E122,2)</f>
        <v>0</v>
      </c>
      <c r="L122" s="28" t="s">
        <v>11</v>
      </c>
      <c r="N122" s="4"/>
    </row>
    <row r="123" spans="1:14" ht="25.5" x14ac:dyDescent="0.25">
      <c r="A123" s="23" t="str">
        <f>IF(TRIM(E123)&lt;&gt;"",COUNTA($E$10:E123)&amp;"","")</f>
        <v>113</v>
      </c>
      <c r="B123" s="48" t="s">
        <v>129</v>
      </c>
      <c r="C123" s="49" t="s">
        <v>1</v>
      </c>
      <c r="D123" s="50"/>
      <c r="E123" s="21">
        <f>E107</f>
        <v>14.26</v>
      </c>
      <c r="F123" s="21">
        <f>G123+H123</f>
        <v>0</v>
      </c>
      <c r="G123" s="89"/>
      <c r="H123" s="21"/>
      <c r="I123" s="21">
        <f>J123+K123</f>
        <v>0</v>
      </c>
      <c r="J123" s="39">
        <f>ROUND(G123*E123,2)</f>
        <v>0</v>
      </c>
      <c r="K123" s="21"/>
      <c r="L123" s="51"/>
      <c r="N123" s="4"/>
    </row>
    <row r="124" spans="1:14" ht="25.5" x14ac:dyDescent="0.25">
      <c r="A124" s="23" t="str">
        <f>IF(TRIM(E124)&lt;&gt;"",COUNTA($E$10:E124)&amp;"","")</f>
        <v>114</v>
      </c>
      <c r="B124" s="52" t="s">
        <v>86</v>
      </c>
      <c r="C124" s="36" t="s">
        <v>1</v>
      </c>
      <c r="D124" s="53">
        <v>1.03</v>
      </c>
      <c r="E124" s="27">
        <f>E123*D124</f>
        <v>14.687799999999999</v>
      </c>
      <c r="F124" s="27">
        <f t="shared" ref="F124" si="79">G124+H124</f>
        <v>0</v>
      </c>
      <c r="G124" s="27"/>
      <c r="H124" s="90"/>
      <c r="I124" s="27">
        <f t="shared" ref="I124" si="80">J124+K124</f>
        <v>0</v>
      </c>
      <c r="J124" s="27"/>
      <c r="K124" s="27">
        <f>ROUND(H124*E124,2)</f>
        <v>0</v>
      </c>
      <c r="L124" s="30" t="s">
        <v>11</v>
      </c>
      <c r="N124" s="4"/>
    </row>
    <row r="125" spans="1:14" ht="25.5" x14ac:dyDescent="0.25">
      <c r="A125" s="23" t="str">
        <f>IF(TRIM(E125)&lt;&gt;"",COUNTA($E$10:E125)&amp;"","")</f>
        <v>115</v>
      </c>
      <c r="B125" s="18" t="s">
        <v>130</v>
      </c>
      <c r="C125" s="19" t="s">
        <v>1</v>
      </c>
      <c r="D125" s="20"/>
      <c r="E125" s="21">
        <f>E107</f>
        <v>14.26</v>
      </c>
      <c r="F125" s="21">
        <f>G125+H125</f>
        <v>0</v>
      </c>
      <c r="G125" s="89"/>
      <c r="H125" s="21"/>
      <c r="I125" s="21">
        <f>J125+K125</f>
        <v>0</v>
      </c>
      <c r="J125" s="39">
        <f>ROUND(G125*E125,2)</f>
        <v>0</v>
      </c>
      <c r="K125" s="21"/>
      <c r="L125" s="22"/>
      <c r="M125" s="5"/>
      <c r="N125" s="4"/>
    </row>
    <row r="126" spans="1:14" ht="25.5" x14ac:dyDescent="0.25">
      <c r="A126" s="23" t="str">
        <f>IF(TRIM(E126)&lt;&gt;"",COUNTA($E$10:E126)&amp;"","")</f>
        <v>116</v>
      </c>
      <c r="B126" s="24" t="s">
        <v>87</v>
      </c>
      <c r="C126" s="25" t="s">
        <v>1</v>
      </c>
      <c r="D126" s="26">
        <v>1.02</v>
      </c>
      <c r="E126" s="27">
        <f>E125*D126</f>
        <v>14.545199999999999</v>
      </c>
      <c r="F126" s="27">
        <f t="shared" ref="F126" si="81">G126+H126</f>
        <v>0</v>
      </c>
      <c r="G126" s="27"/>
      <c r="H126" s="90"/>
      <c r="I126" s="27">
        <f t="shared" ref="I126" si="82">J126+K126</f>
        <v>0</v>
      </c>
      <c r="J126" s="27"/>
      <c r="K126" s="27">
        <f>ROUND(H126*E126,2)</f>
        <v>0</v>
      </c>
      <c r="L126" s="30" t="s">
        <v>11</v>
      </c>
      <c r="N126" s="4"/>
    </row>
    <row r="127" spans="1:14" s="5" customFormat="1" x14ac:dyDescent="0.25">
      <c r="A127" s="11"/>
      <c r="B127" s="12" t="s">
        <v>142</v>
      </c>
      <c r="C127" s="12"/>
      <c r="D127" s="13"/>
      <c r="E127" s="13"/>
      <c r="F127" s="13"/>
      <c r="G127" s="13"/>
      <c r="H127" s="13"/>
      <c r="I127" s="13"/>
      <c r="J127" s="13"/>
      <c r="K127" s="13"/>
      <c r="L127" s="13"/>
    </row>
    <row r="128" spans="1:14" s="5" customFormat="1" x14ac:dyDescent="0.25">
      <c r="A128" s="14"/>
      <c r="B128" s="15" t="s">
        <v>143</v>
      </c>
      <c r="C128" s="16"/>
      <c r="D128" s="17"/>
      <c r="E128" s="17"/>
      <c r="F128" s="17"/>
      <c r="G128" s="17"/>
      <c r="H128" s="17"/>
      <c r="I128" s="17"/>
      <c r="J128" s="17"/>
      <c r="K128" s="17"/>
      <c r="L128" s="16"/>
    </row>
    <row r="129" spans="1:14" ht="25.5" x14ac:dyDescent="0.25">
      <c r="A129" s="1" t="str">
        <f>IF(TRIM(E129)&lt;&gt;"",COUNTA($E$10:E129)&amp;"","")</f>
        <v>117</v>
      </c>
      <c r="B129" s="18" t="s">
        <v>50</v>
      </c>
      <c r="C129" s="19" t="s">
        <v>1</v>
      </c>
      <c r="D129" s="20"/>
      <c r="E129" s="21">
        <f>Расчет!E16+0.35*E147</f>
        <v>146.03300000000002</v>
      </c>
      <c r="F129" s="21">
        <f>G129+H129</f>
        <v>0</v>
      </c>
      <c r="G129" s="89"/>
      <c r="H129" s="21"/>
      <c r="I129" s="21">
        <f>J129+K129</f>
        <v>0</v>
      </c>
      <c r="J129" s="39">
        <f>ROUND(G129*E129,2)</f>
        <v>0</v>
      </c>
      <c r="K129" s="21"/>
      <c r="L129" s="22"/>
      <c r="N129" s="4"/>
    </row>
    <row r="130" spans="1:14" ht="25.5" x14ac:dyDescent="0.25">
      <c r="A130" s="23" t="str">
        <f>IF(TRIM(E130)&lt;&gt;"",COUNTA($E$10:E130)&amp;"","")</f>
        <v>118</v>
      </c>
      <c r="B130" s="24" t="s">
        <v>75</v>
      </c>
      <c r="C130" s="25" t="s">
        <v>20</v>
      </c>
      <c r="D130" s="26">
        <v>0.35</v>
      </c>
      <c r="E130" s="27">
        <f>E129*D130</f>
        <v>51.111550000000001</v>
      </c>
      <c r="F130" s="27">
        <f t="shared" ref="F130" si="83">G130+H130</f>
        <v>0</v>
      </c>
      <c r="G130" s="27"/>
      <c r="H130" s="90"/>
      <c r="I130" s="27">
        <f t="shared" ref="I130" si="84">J130+K130</f>
        <v>0</v>
      </c>
      <c r="J130" s="27"/>
      <c r="K130" s="27">
        <f>ROUND(H130*E130,2)</f>
        <v>0</v>
      </c>
      <c r="L130" s="28" t="s">
        <v>11</v>
      </c>
      <c r="N130" s="4"/>
    </row>
    <row r="131" spans="1:14" ht="25.5" x14ac:dyDescent="0.25">
      <c r="A131" s="23" t="str">
        <f>IF(TRIM(E131)&lt;&gt;"",COUNTA($E$10:E131)&amp;"","")</f>
        <v>119</v>
      </c>
      <c r="B131" s="18" t="s">
        <v>116</v>
      </c>
      <c r="C131" s="19" t="s">
        <v>1</v>
      </c>
      <c r="D131" s="20"/>
      <c r="E131" s="21">
        <f>E129</f>
        <v>146.03300000000002</v>
      </c>
      <c r="F131" s="21">
        <f>G131+H131</f>
        <v>0</v>
      </c>
      <c r="G131" s="89"/>
      <c r="H131" s="21"/>
      <c r="I131" s="21">
        <f>J131+K131</f>
        <v>0</v>
      </c>
      <c r="J131" s="39">
        <f>ROUND(G131*E131,2)</f>
        <v>0</v>
      </c>
      <c r="K131" s="21"/>
      <c r="L131" s="22"/>
      <c r="N131" s="4"/>
    </row>
    <row r="132" spans="1:14" ht="25.5" x14ac:dyDescent="0.25">
      <c r="A132" s="23" t="str">
        <f>IF(TRIM(E132)&lt;&gt;"",COUNTA($E$10:E132)&amp;"","")</f>
        <v>120</v>
      </c>
      <c r="B132" s="29" t="s">
        <v>76</v>
      </c>
      <c r="C132" s="25" t="s">
        <v>1</v>
      </c>
      <c r="D132" s="26">
        <v>1.1499999999999999</v>
      </c>
      <c r="E132" s="27">
        <f>E131*D132</f>
        <v>167.93795</v>
      </c>
      <c r="F132" s="27">
        <f t="shared" ref="F132:F133" si="85">G132+H132</f>
        <v>0</v>
      </c>
      <c r="G132" s="27"/>
      <c r="H132" s="90"/>
      <c r="I132" s="27">
        <f t="shared" ref="I132:I133" si="86">J132+K132</f>
        <v>0</v>
      </c>
      <c r="J132" s="27"/>
      <c r="K132" s="27">
        <f t="shared" ref="K132:K133" si="87">ROUND(H132*E132,2)</f>
        <v>0</v>
      </c>
      <c r="L132" s="30" t="s">
        <v>11</v>
      </c>
      <c r="N132" s="4"/>
    </row>
    <row r="133" spans="1:14" ht="25.5" x14ac:dyDescent="0.25">
      <c r="A133" s="23" t="str">
        <f>IF(TRIM(E133)&lt;&gt;"",COUNTA($E$10:E133)&amp;"","")</f>
        <v>121</v>
      </c>
      <c r="B133" s="31" t="s">
        <v>117</v>
      </c>
      <c r="C133" s="32" t="s">
        <v>3</v>
      </c>
      <c r="D133" s="33">
        <v>0.3</v>
      </c>
      <c r="E133" s="27">
        <f>E131*D133</f>
        <v>43.809900000000006</v>
      </c>
      <c r="F133" s="27">
        <f t="shared" si="85"/>
        <v>0</v>
      </c>
      <c r="G133" s="27"/>
      <c r="H133" s="90"/>
      <c r="I133" s="27">
        <f t="shared" si="86"/>
        <v>0</v>
      </c>
      <c r="J133" s="27"/>
      <c r="K133" s="27">
        <f t="shared" si="87"/>
        <v>0</v>
      </c>
      <c r="L133" s="30" t="s">
        <v>11</v>
      </c>
      <c r="N133" s="4"/>
    </row>
    <row r="134" spans="1:14" x14ac:dyDescent="0.25">
      <c r="A134" s="23" t="str">
        <f>IF(TRIM(E134)&lt;&gt;"",COUNTA($E$10:E134)&amp;"","")</f>
        <v>122</v>
      </c>
      <c r="B134" s="18" t="s">
        <v>47</v>
      </c>
      <c r="C134" s="19" t="s">
        <v>1</v>
      </c>
      <c r="D134" s="20"/>
      <c r="E134" s="21">
        <f>Расчет!E16</f>
        <v>126.93</v>
      </c>
      <c r="F134" s="21">
        <f>G134+H134</f>
        <v>0</v>
      </c>
      <c r="G134" s="89"/>
      <c r="H134" s="21"/>
      <c r="I134" s="21">
        <f>J134+K134</f>
        <v>0</v>
      </c>
      <c r="J134" s="39">
        <f>ROUND(G134*E134,2)</f>
        <v>0</v>
      </c>
      <c r="K134" s="21"/>
      <c r="L134" s="22"/>
      <c r="N134" s="4"/>
    </row>
    <row r="135" spans="1:14" ht="25.5" x14ac:dyDescent="0.25">
      <c r="A135" s="23" t="str">
        <f>IF(TRIM(E135)&lt;&gt;"",COUNTA($E$10:E135)&amp;"","")</f>
        <v>123</v>
      </c>
      <c r="B135" s="29" t="s">
        <v>72</v>
      </c>
      <c r="C135" s="25" t="s">
        <v>22</v>
      </c>
      <c r="D135" s="26">
        <v>1.1000000000000001</v>
      </c>
      <c r="E135" s="27">
        <f>E134*0.1*D135</f>
        <v>13.962300000000003</v>
      </c>
      <c r="F135" s="27">
        <f t="shared" ref="F135" si="88">G135+H135</f>
        <v>0</v>
      </c>
      <c r="G135" s="27"/>
      <c r="H135" s="90"/>
      <c r="I135" s="27">
        <f t="shared" ref="I135" si="89">J135+K135</f>
        <v>0</v>
      </c>
      <c r="J135" s="27"/>
      <c r="K135" s="27">
        <f>ROUND(H135*E135,2)</f>
        <v>0</v>
      </c>
      <c r="L135" s="30" t="s">
        <v>11</v>
      </c>
      <c r="N135" s="4"/>
    </row>
    <row r="136" spans="1:14" x14ac:dyDescent="0.25">
      <c r="A136" s="23" t="str">
        <f>IF(TRIM(E136)&lt;&gt;"",COUNTA($E$10:E136)&amp;"","")</f>
        <v>124</v>
      </c>
      <c r="B136" s="18" t="s">
        <v>88</v>
      </c>
      <c r="C136" s="19" t="s">
        <v>1</v>
      </c>
      <c r="D136" s="20"/>
      <c r="E136" s="21">
        <f>E147*0.47</f>
        <v>25.6526</v>
      </c>
      <c r="F136" s="21">
        <f>G136+H136</f>
        <v>0</v>
      </c>
      <c r="G136" s="89"/>
      <c r="H136" s="21"/>
      <c r="I136" s="21">
        <f>J136+K136</f>
        <v>0</v>
      </c>
      <c r="J136" s="39">
        <f>ROUND(G136*E136,2)</f>
        <v>0</v>
      </c>
      <c r="K136" s="21"/>
      <c r="L136" s="22"/>
      <c r="N136" s="4"/>
    </row>
    <row r="137" spans="1:14" ht="25.5" x14ac:dyDescent="0.25">
      <c r="A137" s="23" t="str">
        <f>IF(TRIM(E137)&lt;&gt;"",COUNTA($E$10:E137)&amp;"","")</f>
        <v>125</v>
      </c>
      <c r="B137" s="29" t="s">
        <v>89</v>
      </c>
      <c r="C137" s="25" t="s">
        <v>22</v>
      </c>
      <c r="D137" s="26">
        <v>1.03</v>
      </c>
      <c r="E137" s="27">
        <f>E136*0.05*D137</f>
        <v>1.3211089000000003</v>
      </c>
      <c r="F137" s="27">
        <f t="shared" ref="F137:F138" si="90">G137+H137</f>
        <v>0</v>
      </c>
      <c r="G137" s="27"/>
      <c r="H137" s="90"/>
      <c r="I137" s="27">
        <f t="shared" ref="I137:I138" si="91">J137+K137</f>
        <v>0</v>
      </c>
      <c r="J137" s="27"/>
      <c r="K137" s="27">
        <f t="shared" ref="K137:K138" si="92">ROUND(H137*E137,2)</f>
        <v>0</v>
      </c>
      <c r="L137" s="30" t="s">
        <v>11</v>
      </c>
      <c r="N137" s="4"/>
    </row>
    <row r="138" spans="1:14" ht="25.5" x14ac:dyDescent="0.25">
      <c r="A138" s="23" t="str">
        <f>IF(TRIM(E138)&lt;&gt;"",COUNTA($E$10:E138)&amp;"","")</f>
        <v>126</v>
      </c>
      <c r="B138" s="29" t="s">
        <v>90</v>
      </c>
      <c r="C138" s="25" t="s">
        <v>0</v>
      </c>
      <c r="D138" s="26">
        <v>5</v>
      </c>
      <c r="E138" s="27">
        <f>ROUND(E136*D138,0)</f>
        <v>128</v>
      </c>
      <c r="F138" s="27">
        <f t="shared" si="90"/>
        <v>0</v>
      </c>
      <c r="G138" s="27"/>
      <c r="H138" s="90"/>
      <c r="I138" s="27">
        <f t="shared" si="91"/>
        <v>0</v>
      </c>
      <c r="J138" s="27"/>
      <c r="K138" s="27">
        <f t="shared" si="92"/>
        <v>0</v>
      </c>
      <c r="L138" s="30" t="s">
        <v>11</v>
      </c>
      <c r="N138" s="4"/>
    </row>
    <row r="139" spans="1:14" x14ac:dyDescent="0.25">
      <c r="A139" s="23" t="str">
        <f>IF(TRIM(E139)&lt;&gt;"",COUNTA($E$10:E139)&amp;"","")</f>
        <v>127</v>
      </c>
      <c r="B139" s="18" t="s">
        <v>91</v>
      </c>
      <c r="C139" s="19" t="s">
        <v>1</v>
      </c>
      <c r="D139" s="20"/>
      <c r="E139" s="21">
        <f>E136</f>
        <v>25.6526</v>
      </c>
      <c r="F139" s="21">
        <f>G139+H139</f>
        <v>0</v>
      </c>
      <c r="G139" s="89"/>
      <c r="H139" s="21"/>
      <c r="I139" s="21">
        <f>J139+K139</f>
        <v>0</v>
      </c>
      <c r="J139" s="39">
        <f>ROUND(G139*E139,2)</f>
        <v>0</v>
      </c>
      <c r="K139" s="21"/>
      <c r="L139" s="22"/>
      <c r="N139" s="4"/>
    </row>
    <row r="140" spans="1:14" ht="25.5" x14ac:dyDescent="0.25">
      <c r="A140" s="23" t="str">
        <f>IF(TRIM(E140)&lt;&gt;"",COUNTA($E$10:E140)&amp;"","")</f>
        <v>128</v>
      </c>
      <c r="B140" s="29" t="s">
        <v>21</v>
      </c>
      <c r="C140" s="25" t="s">
        <v>22</v>
      </c>
      <c r="D140" s="34">
        <v>1.0149999999999999</v>
      </c>
      <c r="E140" s="27">
        <f>E139*0.02*D140</f>
        <v>0.52074777999999988</v>
      </c>
      <c r="F140" s="27">
        <f t="shared" ref="F140:F141" si="93">G140+H140</f>
        <v>0</v>
      </c>
      <c r="G140" s="27"/>
      <c r="H140" s="90"/>
      <c r="I140" s="27">
        <f t="shared" ref="I140:I141" si="94">J140+K140</f>
        <v>0</v>
      </c>
      <c r="J140" s="27"/>
      <c r="K140" s="27">
        <f t="shared" ref="K140:K141" si="95">ROUND(H140*E140,2)</f>
        <v>0</v>
      </c>
      <c r="L140" s="28" t="s">
        <v>11</v>
      </c>
      <c r="N140" s="4"/>
    </row>
    <row r="141" spans="1:14" ht="25.5" x14ac:dyDescent="0.25">
      <c r="A141" s="23" t="str">
        <f>IF(TRIM(E141)&lt;&gt;"",COUNTA($E$10:E141)&amp;"","")</f>
        <v>129</v>
      </c>
      <c r="B141" s="24" t="s">
        <v>92</v>
      </c>
      <c r="C141" s="25" t="s">
        <v>1</v>
      </c>
      <c r="D141" s="26">
        <v>1.2</v>
      </c>
      <c r="E141" s="27">
        <f>E139*D141</f>
        <v>30.783119999999997</v>
      </c>
      <c r="F141" s="27">
        <f t="shared" si="93"/>
        <v>0</v>
      </c>
      <c r="G141" s="27"/>
      <c r="H141" s="90"/>
      <c r="I141" s="27">
        <f t="shared" si="94"/>
        <v>0</v>
      </c>
      <c r="J141" s="27"/>
      <c r="K141" s="27">
        <f t="shared" si="95"/>
        <v>0</v>
      </c>
      <c r="L141" s="28" t="s">
        <v>11</v>
      </c>
      <c r="N141" s="4"/>
    </row>
    <row r="142" spans="1:14" x14ac:dyDescent="0.25">
      <c r="A142" s="23" t="str">
        <f>IF(TRIM(E142)&lt;&gt;"",COUNTA($E$10:E142)&amp;"","")</f>
        <v>130</v>
      </c>
      <c r="B142" s="18" t="s">
        <v>51</v>
      </c>
      <c r="C142" s="19" t="s">
        <v>1</v>
      </c>
      <c r="D142" s="20"/>
      <c r="E142" s="21">
        <f>E134</f>
        <v>126.93</v>
      </c>
      <c r="F142" s="21">
        <f>G142+H142</f>
        <v>0</v>
      </c>
      <c r="G142" s="89"/>
      <c r="H142" s="21"/>
      <c r="I142" s="21">
        <f>J142+K142</f>
        <v>0</v>
      </c>
      <c r="J142" s="39">
        <f>ROUND(G142*E142,2)</f>
        <v>0</v>
      </c>
      <c r="K142" s="21"/>
      <c r="L142" s="22"/>
      <c r="N142" s="4"/>
    </row>
    <row r="143" spans="1:14" ht="25.5" x14ac:dyDescent="0.25">
      <c r="A143" s="23" t="str">
        <f>IF(TRIM(E143)&lt;&gt;"",COUNTA($E$10:E143)&amp;"","")</f>
        <v>131</v>
      </c>
      <c r="B143" s="29" t="s">
        <v>73</v>
      </c>
      <c r="C143" s="25" t="s">
        <v>1</v>
      </c>
      <c r="D143" s="26">
        <v>1.1499999999999999</v>
      </c>
      <c r="E143" s="27">
        <f>E142*D143</f>
        <v>145.96950000000001</v>
      </c>
      <c r="F143" s="27">
        <f t="shared" ref="F143" si="96">G143+H143</f>
        <v>0</v>
      </c>
      <c r="G143" s="27"/>
      <c r="H143" s="90"/>
      <c r="I143" s="27">
        <f t="shared" ref="I143" si="97">J143+K143</f>
        <v>0</v>
      </c>
      <c r="J143" s="27"/>
      <c r="K143" s="27">
        <f>ROUND(H143*E143,2)</f>
        <v>0</v>
      </c>
      <c r="L143" s="30" t="s">
        <v>11</v>
      </c>
      <c r="N143" s="4"/>
    </row>
    <row r="144" spans="1:14" ht="38.25" x14ac:dyDescent="0.25">
      <c r="A144" s="23" t="str">
        <f>IF(TRIM(E144)&lt;&gt;"",COUNTA($E$10:E144)&amp;"","")</f>
        <v>132</v>
      </c>
      <c r="B144" s="18" t="s">
        <v>134</v>
      </c>
      <c r="C144" s="19" t="s">
        <v>1</v>
      </c>
      <c r="D144" s="20"/>
      <c r="E144" s="21">
        <f>Расчет!E16</f>
        <v>126.93</v>
      </c>
      <c r="F144" s="21">
        <f>G144+H144</f>
        <v>0</v>
      </c>
      <c r="G144" s="89"/>
      <c r="H144" s="21"/>
      <c r="I144" s="21">
        <f>J144+K144</f>
        <v>0</v>
      </c>
      <c r="J144" s="39">
        <f>ROUND(G144*E144,2)</f>
        <v>0</v>
      </c>
      <c r="K144" s="21"/>
      <c r="L144" s="22"/>
      <c r="M144" s="5"/>
      <c r="N144" s="4"/>
    </row>
    <row r="145" spans="1:14" ht="25.5" x14ac:dyDescent="0.25">
      <c r="A145" s="23" t="str">
        <f>IF(TRIM(E145)&lt;&gt;"",COUNTA($E$10:E145)&amp;"","")</f>
        <v>133</v>
      </c>
      <c r="B145" s="24" t="s">
        <v>21</v>
      </c>
      <c r="C145" s="25" t="s">
        <v>22</v>
      </c>
      <c r="D145" s="34">
        <v>1.0149999999999999</v>
      </c>
      <c r="E145" s="27">
        <f>Расчет!L21*D145</f>
        <v>15.030627499999968</v>
      </c>
      <c r="F145" s="27">
        <f t="shared" ref="F145:F146" si="98">G145+H145</f>
        <v>0</v>
      </c>
      <c r="G145" s="27"/>
      <c r="H145" s="90"/>
      <c r="I145" s="27">
        <f t="shared" ref="I145:I146" si="99">J145+K145</f>
        <v>0</v>
      </c>
      <c r="J145" s="27"/>
      <c r="K145" s="27">
        <f t="shared" ref="K145:K146" si="100">ROUND(H145*E145,2)</f>
        <v>0</v>
      </c>
      <c r="L145" s="30" t="s">
        <v>11</v>
      </c>
      <c r="N145" s="4"/>
    </row>
    <row r="146" spans="1:14" ht="25.5" x14ac:dyDescent="0.25">
      <c r="A146" s="23" t="str">
        <f>IF(TRIM(E146)&lt;&gt;"",COUNTA($E$10:E146)&amp;"","")</f>
        <v>134</v>
      </c>
      <c r="B146" s="24" t="s">
        <v>74</v>
      </c>
      <c r="C146" s="25" t="s">
        <v>1</v>
      </c>
      <c r="D146" s="26">
        <v>1.2</v>
      </c>
      <c r="E146" s="27">
        <f>E144*D146</f>
        <v>152.316</v>
      </c>
      <c r="F146" s="27">
        <f t="shared" si="98"/>
        <v>0</v>
      </c>
      <c r="G146" s="27"/>
      <c r="H146" s="90"/>
      <c r="I146" s="27">
        <f t="shared" si="99"/>
        <v>0</v>
      </c>
      <c r="J146" s="27"/>
      <c r="K146" s="27">
        <f t="shared" si="100"/>
        <v>0</v>
      </c>
      <c r="L146" s="28" t="s">
        <v>11</v>
      </c>
      <c r="N146" s="4"/>
    </row>
    <row r="147" spans="1:14" ht="38.25" x14ac:dyDescent="0.25">
      <c r="A147" s="23" t="str">
        <f>IF(TRIM(E147)&lt;&gt;"",COUNTA($E$10:E147)&amp;"","")</f>
        <v>135</v>
      </c>
      <c r="B147" s="18" t="s">
        <v>24</v>
      </c>
      <c r="C147" s="19" t="s">
        <v>23</v>
      </c>
      <c r="D147" s="20"/>
      <c r="E147" s="21">
        <f>Расчет!F20</f>
        <v>54.580000000000005</v>
      </c>
      <c r="F147" s="21">
        <f>G147+H147</f>
        <v>0</v>
      </c>
      <c r="G147" s="89"/>
      <c r="H147" s="21"/>
      <c r="I147" s="21">
        <f>J147+K147</f>
        <v>0</v>
      </c>
      <c r="J147" s="39">
        <f>ROUND(G147*E147,2)</f>
        <v>0</v>
      </c>
      <c r="K147" s="21"/>
      <c r="L147" s="22"/>
      <c r="N147" s="4"/>
    </row>
    <row r="148" spans="1:14" ht="25.5" x14ac:dyDescent="0.25">
      <c r="A148" s="23" t="str">
        <f>IF(TRIM(E148)&lt;&gt;"",COUNTA($E$10:E148)&amp;"","")</f>
        <v>136</v>
      </c>
      <c r="B148" s="24" t="s">
        <v>21</v>
      </c>
      <c r="C148" s="25" t="s">
        <v>22</v>
      </c>
      <c r="D148" s="34">
        <v>5.0000000000000001E-3</v>
      </c>
      <c r="E148" s="27">
        <f>D148*E147</f>
        <v>0.27290000000000003</v>
      </c>
      <c r="F148" s="27">
        <f t="shared" ref="F148" si="101">G148+H148</f>
        <v>0</v>
      </c>
      <c r="G148" s="27"/>
      <c r="H148" s="90"/>
      <c r="I148" s="27">
        <f t="shared" ref="I148" si="102">J148+K148</f>
        <v>0</v>
      </c>
      <c r="J148" s="27"/>
      <c r="K148" s="27">
        <f>ROUND(H148*E148,2)</f>
        <v>0</v>
      </c>
      <c r="L148" s="30" t="s">
        <v>11</v>
      </c>
      <c r="N148" s="4"/>
    </row>
    <row r="149" spans="1:14" ht="25.5" x14ac:dyDescent="0.25">
      <c r="A149" s="23" t="str">
        <f>IF(TRIM(E149)&lt;&gt;"",COUNTA($E$10:E149)&amp;"","")</f>
        <v>137</v>
      </c>
      <c r="B149" s="18" t="s">
        <v>50</v>
      </c>
      <c r="C149" s="19" t="s">
        <v>1</v>
      </c>
      <c r="D149" s="20"/>
      <c r="E149" s="21">
        <f>E129</f>
        <v>146.03300000000002</v>
      </c>
      <c r="F149" s="21">
        <f>G149+H149</f>
        <v>0</v>
      </c>
      <c r="G149" s="89"/>
      <c r="H149" s="21"/>
      <c r="I149" s="21">
        <f>J149+K149</f>
        <v>0</v>
      </c>
      <c r="J149" s="39">
        <f>ROUND(G149*E149,2)</f>
        <v>0</v>
      </c>
      <c r="K149" s="21"/>
      <c r="L149" s="22"/>
      <c r="N149" s="4"/>
    </row>
    <row r="150" spans="1:14" ht="25.5" x14ac:dyDescent="0.25">
      <c r="A150" s="23" t="str">
        <f>IF(TRIM(E150)&lt;&gt;"",COUNTA($E$10:E150)&amp;"","")</f>
        <v>138</v>
      </c>
      <c r="B150" s="24" t="s">
        <v>75</v>
      </c>
      <c r="C150" s="25" t="s">
        <v>20</v>
      </c>
      <c r="D150" s="26">
        <v>0.35</v>
      </c>
      <c r="E150" s="27">
        <f>E149*D150</f>
        <v>51.111550000000001</v>
      </c>
      <c r="F150" s="27">
        <f t="shared" ref="F150" si="103">G150+H150</f>
        <v>0</v>
      </c>
      <c r="G150" s="27"/>
      <c r="H150" s="90"/>
      <c r="I150" s="27">
        <f t="shared" ref="I150" si="104">J150+K150</f>
        <v>0</v>
      </c>
      <c r="J150" s="27"/>
      <c r="K150" s="27">
        <f>ROUND(H150*E150,2)</f>
        <v>0</v>
      </c>
      <c r="L150" s="28" t="s">
        <v>11</v>
      </c>
      <c r="N150" s="4"/>
    </row>
    <row r="151" spans="1:14" x14ac:dyDescent="0.25">
      <c r="A151" s="23" t="str">
        <f>IF(TRIM(E151)&lt;&gt;"",COUNTA($E$10:E151)&amp;"","")</f>
        <v>139</v>
      </c>
      <c r="B151" s="18" t="s">
        <v>48</v>
      </c>
      <c r="C151" s="19" t="s">
        <v>1</v>
      </c>
      <c r="D151" s="20"/>
      <c r="E151" s="21">
        <f>Расчет!E16</f>
        <v>126.93</v>
      </c>
      <c r="F151" s="21">
        <f>G151+H151</f>
        <v>0</v>
      </c>
      <c r="G151" s="89"/>
      <c r="H151" s="21"/>
      <c r="I151" s="21">
        <f>J151+K151</f>
        <v>0</v>
      </c>
      <c r="J151" s="39">
        <f>ROUND(G151*E151,2)</f>
        <v>0</v>
      </c>
      <c r="K151" s="21"/>
      <c r="L151" s="22"/>
      <c r="N151" s="4"/>
    </row>
    <row r="152" spans="1:14" ht="25.5" x14ac:dyDescent="0.25">
      <c r="A152" s="23" t="str">
        <f>IF(TRIM(E152)&lt;&gt;"",COUNTA($E$10:E152)&amp;"","")</f>
        <v>140</v>
      </c>
      <c r="B152" s="24" t="s">
        <v>77</v>
      </c>
      <c r="C152" s="25" t="s">
        <v>1</v>
      </c>
      <c r="D152" s="26">
        <v>1.1399999999999999</v>
      </c>
      <c r="E152" s="27">
        <f>E151*D152</f>
        <v>144.7002</v>
      </c>
      <c r="F152" s="27">
        <f t="shared" ref="F152:F154" si="105">G152+H152</f>
        <v>0</v>
      </c>
      <c r="G152" s="27"/>
      <c r="H152" s="90"/>
      <c r="I152" s="27">
        <f t="shared" ref="I152:I154" si="106">J152+K152</f>
        <v>0</v>
      </c>
      <c r="J152" s="27"/>
      <c r="K152" s="27">
        <f t="shared" ref="K152:K154" si="107">ROUND(H152*E152,2)</f>
        <v>0</v>
      </c>
      <c r="L152" s="28" t="s">
        <v>11</v>
      </c>
      <c r="N152" s="4"/>
    </row>
    <row r="153" spans="1:14" ht="25.5" x14ac:dyDescent="0.25">
      <c r="A153" s="23" t="str">
        <f>IF(TRIM(E153)&lt;&gt;"",COUNTA($E$10:E153)&amp;"","")</f>
        <v>141</v>
      </c>
      <c r="B153" s="24" t="s">
        <v>118</v>
      </c>
      <c r="C153" s="25" t="s">
        <v>1</v>
      </c>
      <c r="D153" s="26">
        <v>1.1599999999999999</v>
      </c>
      <c r="E153" s="27">
        <f>E151*D153</f>
        <v>147.2388</v>
      </c>
      <c r="F153" s="27">
        <f t="shared" si="105"/>
        <v>0</v>
      </c>
      <c r="G153" s="27"/>
      <c r="H153" s="90"/>
      <c r="I153" s="27">
        <f t="shared" si="106"/>
        <v>0</v>
      </c>
      <c r="J153" s="27"/>
      <c r="K153" s="27">
        <f t="shared" si="107"/>
        <v>0</v>
      </c>
      <c r="L153" s="28" t="s">
        <v>11</v>
      </c>
      <c r="N153" s="4"/>
    </row>
    <row r="154" spans="1:14" ht="25.5" x14ac:dyDescent="0.25">
      <c r="A154" s="23" t="str">
        <f>IF(TRIM(E154)&lt;&gt;"",COUNTA($E$10:E154)&amp;"","")</f>
        <v>142</v>
      </c>
      <c r="B154" s="24" t="s">
        <v>117</v>
      </c>
      <c r="C154" s="32" t="s">
        <v>3</v>
      </c>
      <c r="D154" s="33">
        <v>0.6</v>
      </c>
      <c r="E154" s="27">
        <f>E151*D154</f>
        <v>76.158000000000001</v>
      </c>
      <c r="F154" s="27">
        <f t="shared" si="105"/>
        <v>0</v>
      </c>
      <c r="G154" s="27"/>
      <c r="H154" s="90"/>
      <c r="I154" s="27">
        <f t="shared" si="106"/>
        <v>0</v>
      </c>
      <c r="J154" s="27"/>
      <c r="K154" s="27">
        <f t="shared" si="107"/>
        <v>0</v>
      </c>
      <c r="L154" s="28" t="s">
        <v>11</v>
      </c>
      <c r="N154" s="4"/>
    </row>
    <row r="155" spans="1:14" ht="25.5" x14ac:dyDescent="0.25">
      <c r="A155" s="23" t="str">
        <f>IF(TRIM(E155)&lt;&gt;"",COUNTA($E$10:E155)&amp;"","")</f>
        <v>143</v>
      </c>
      <c r="B155" s="18" t="s">
        <v>119</v>
      </c>
      <c r="C155" s="19" t="s">
        <v>23</v>
      </c>
      <c r="D155" s="20"/>
      <c r="E155" s="21">
        <f>E147</f>
        <v>54.580000000000005</v>
      </c>
      <c r="F155" s="21">
        <f>G155+H155</f>
        <v>0</v>
      </c>
      <c r="G155" s="89"/>
      <c r="H155" s="21"/>
      <c r="I155" s="21">
        <f>J155+K155</f>
        <v>0</v>
      </c>
      <c r="J155" s="39">
        <f>ROUND(G155*E155,2)</f>
        <v>0</v>
      </c>
      <c r="K155" s="21"/>
      <c r="L155" s="22"/>
      <c r="N155" s="4"/>
    </row>
    <row r="156" spans="1:14" ht="25.5" x14ac:dyDescent="0.25">
      <c r="A156" s="23" t="str">
        <f>IF(TRIM(E156)&lt;&gt;"",COUNTA($E$10:E156)&amp;"","")</f>
        <v>144</v>
      </c>
      <c r="B156" s="24" t="s">
        <v>77</v>
      </c>
      <c r="C156" s="25" t="s">
        <v>1</v>
      </c>
      <c r="D156" s="26">
        <v>1.1399999999999999</v>
      </c>
      <c r="E156" s="27">
        <f>E155*0.6*D156</f>
        <v>37.332720000000002</v>
      </c>
      <c r="F156" s="27">
        <f t="shared" ref="F156:F161" si="108">G156+H156</f>
        <v>0</v>
      </c>
      <c r="G156" s="27"/>
      <c r="H156" s="90"/>
      <c r="I156" s="27">
        <f t="shared" ref="I156:I161" si="109">J156+K156</f>
        <v>0</v>
      </c>
      <c r="J156" s="27"/>
      <c r="K156" s="27">
        <f t="shared" ref="K156:K161" si="110">ROUND(H156*E156,2)</f>
        <v>0</v>
      </c>
      <c r="L156" s="30" t="s">
        <v>11</v>
      </c>
      <c r="N156" s="4"/>
    </row>
    <row r="157" spans="1:14" ht="25.5" x14ac:dyDescent="0.25">
      <c r="A157" s="23" t="str">
        <f>IF(TRIM(E157)&lt;&gt;"",COUNTA($E$10:E157)&amp;"","")</f>
        <v>145</v>
      </c>
      <c r="B157" s="24" t="s">
        <v>118</v>
      </c>
      <c r="C157" s="25" t="s">
        <v>1</v>
      </c>
      <c r="D157" s="26">
        <v>1.1599999999999999</v>
      </c>
      <c r="E157" s="27">
        <f>E155*0.6*D157</f>
        <v>37.987680000000005</v>
      </c>
      <c r="F157" s="27">
        <f t="shared" si="108"/>
        <v>0</v>
      </c>
      <c r="G157" s="27"/>
      <c r="H157" s="90"/>
      <c r="I157" s="27">
        <f t="shared" si="109"/>
        <v>0</v>
      </c>
      <c r="J157" s="27"/>
      <c r="K157" s="27">
        <f t="shared" si="110"/>
        <v>0</v>
      </c>
      <c r="L157" s="30" t="s">
        <v>11</v>
      </c>
      <c r="N157" s="4"/>
    </row>
    <row r="158" spans="1:14" ht="25.5" x14ac:dyDescent="0.25">
      <c r="A158" s="23" t="str">
        <f>IF(TRIM(E158)&lt;&gt;"",COUNTA($E$10:E158)&amp;"","")</f>
        <v>146</v>
      </c>
      <c r="B158" s="24" t="s">
        <v>117</v>
      </c>
      <c r="C158" s="32" t="s">
        <v>3</v>
      </c>
      <c r="D158" s="26">
        <v>0.6</v>
      </c>
      <c r="E158" s="27">
        <f>E155*D158</f>
        <v>32.748000000000005</v>
      </c>
      <c r="F158" s="27">
        <f t="shared" si="108"/>
        <v>0</v>
      </c>
      <c r="G158" s="27"/>
      <c r="H158" s="90"/>
      <c r="I158" s="27">
        <f t="shared" si="109"/>
        <v>0</v>
      </c>
      <c r="J158" s="27"/>
      <c r="K158" s="27">
        <f t="shared" si="110"/>
        <v>0</v>
      </c>
      <c r="L158" s="30" t="s">
        <v>11</v>
      </c>
      <c r="N158" s="4"/>
    </row>
    <row r="159" spans="1:14" ht="25.5" x14ac:dyDescent="0.25">
      <c r="A159" s="23" t="str">
        <f>IF(TRIM(E159)&lt;&gt;"",COUNTA($E$10:E159)&amp;"","")</f>
        <v>147</v>
      </c>
      <c r="B159" s="24" t="s">
        <v>33</v>
      </c>
      <c r="C159" s="36" t="s">
        <v>2</v>
      </c>
      <c r="D159" s="26">
        <v>1.03</v>
      </c>
      <c r="E159" s="27">
        <f>E155*D159</f>
        <v>56.217400000000005</v>
      </c>
      <c r="F159" s="27">
        <f t="shared" si="108"/>
        <v>0</v>
      </c>
      <c r="G159" s="27"/>
      <c r="H159" s="90"/>
      <c r="I159" s="27">
        <f t="shared" si="109"/>
        <v>0</v>
      </c>
      <c r="J159" s="27"/>
      <c r="K159" s="27">
        <f t="shared" si="110"/>
        <v>0</v>
      </c>
      <c r="L159" s="30" t="s">
        <v>11</v>
      </c>
      <c r="N159" s="4"/>
    </row>
    <row r="160" spans="1:14" ht="25.5" x14ac:dyDescent="0.25">
      <c r="A160" s="23" t="str">
        <f>IF(TRIM(E160)&lt;&gt;"",COUNTA($E$10:E160)&amp;"","")</f>
        <v>148</v>
      </c>
      <c r="B160" s="24" t="s">
        <v>25</v>
      </c>
      <c r="C160" s="32" t="s">
        <v>0</v>
      </c>
      <c r="D160" s="26">
        <v>5</v>
      </c>
      <c r="E160" s="27">
        <f>ROUNDUP(E159*D160,0)</f>
        <v>282</v>
      </c>
      <c r="F160" s="27">
        <f t="shared" si="108"/>
        <v>0</v>
      </c>
      <c r="G160" s="27"/>
      <c r="H160" s="90"/>
      <c r="I160" s="27">
        <f t="shared" si="109"/>
        <v>0</v>
      </c>
      <c r="J160" s="27"/>
      <c r="K160" s="27">
        <f t="shared" si="110"/>
        <v>0</v>
      </c>
      <c r="L160" s="30" t="s">
        <v>11</v>
      </c>
      <c r="N160" s="4"/>
    </row>
    <row r="161" spans="1:14" ht="25.5" x14ac:dyDescent="0.25">
      <c r="A161" s="23" t="str">
        <f>IF(TRIM(E161)&lt;&gt;"",COUNTA($E$10:E161)&amp;"","")</f>
        <v>149</v>
      </c>
      <c r="B161" s="24" t="s">
        <v>57</v>
      </c>
      <c r="C161" s="37" t="s">
        <v>0</v>
      </c>
      <c r="D161" s="26">
        <v>0.15</v>
      </c>
      <c r="E161" s="27">
        <f>ROUNDDOWN(E155*0.15,0)</f>
        <v>8</v>
      </c>
      <c r="F161" s="27">
        <f t="shared" si="108"/>
        <v>0</v>
      </c>
      <c r="G161" s="27"/>
      <c r="H161" s="90"/>
      <c r="I161" s="27">
        <f t="shared" si="109"/>
        <v>0</v>
      </c>
      <c r="J161" s="27"/>
      <c r="K161" s="27">
        <f t="shared" si="110"/>
        <v>0</v>
      </c>
      <c r="L161" s="30" t="s">
        <v>11</v>
      </c>
      <c r="N161" s="4"/>
    </row>
    <row r="162" spans="1:14" ht="25.5" x14ac:dyDescent="0.25">
      <c r="A162" s="23" t="str">
        <f>IF(TRIM(E162)&lt;&gt;"",COUNTA($E$10:E162)&amp;"","")</f>
        <v>150</v>
      </c>
      <c r="B162" s="48" t="s">
        <v>129</v>
      </c>
      <c r="C162" s="49" t="s">
        <v>1</v>
      </c>
      <c r="D162" s="50"/>
      <c r="E162" s="21">
        <f>E151</f>
        <v>126.93</v>
      </c>
      <c r="F162" s="21">
        <f>G162+H162</f>
        <v>0</v>
      </c>
      <c r="G162" s="89"/>
      <c r="H162" s="21"/>
      <c r="I162" s="21">
        <f>J162+K162</f>
        <v>0</v>
      </c>
      <c r="J162" s="39">
        <f>ROUND(G162*E162,2)</f>
        <v>0</v>
      </c>
      <c r="K162" s="21"/>
      <c r="L162" s="51"/>
      <c r="N162" s="4"/>
    </row>
    <row r="163" spans="1:14" ht="25.5" x14ac:dyDescent="0.25">
      <c r="A163" s="23" t="str">
        <f>IF(TRIM(E163)&lt;&gt;"",COUNTA($E$10:E163)&amp;"","")</f>
        <v>151</v>
      </c>
      <c r="B163" s="52" t="s">
        <v>86</v>
      </c>
      <c r="C163" s="36" t="s">
        <v>1</v>
      </c>
      <c r="D163" s="53">
        <v>1.03</v>
      </c>
      <c r="E163" s="27">
        <f>E162*D163</f>
        <v>130.7379</v>
      </c>
      <c r="F163" s="27">
        <f t="shared" ref="F163" si="111">G163+H163</f>
        <v>0</v>
      </c>
      <c r="G163" s="27"/>
      <c r="H163" s="90"/>
      <c r="I163" s="27">
        <f t="shared" ref="I163" si="112">J163+K163</f>
        <v>0</v>
      </c>
      <c r="J163" s="27"/>
      <c r="K163" s="27">
        <f>ROUND(H163*E163,2)</f>
        <v>0</v>
      </c>
      <c r="L163" s="30" t="s">
        <v>11</v>
      </c>
      <c r="N163" s="4"/>
    </row>
    <row r="164" spans="1:14" ht="25.5" x14ac:dyDescent="0.25">
      <c r="A164" s="23" t="str">
        <f>IF(TRIM(E164)&lt;&gt;"",COUNTA($E$10:E164)&amp;"","")</f>
        <v>152</v>
      </c>
      <c r="B164" s="18" t="s">
        <v>130</v>
      </c>
      <c r="C164" s="19" t="s">
        <v>1</v>
      </c>
      <c r="D164" s="20"/>
      <c r="E164" s="21">
        <f>E162</f>
        <v>126.93</v>
      </c>
      <c r="F164" s="21">
        <f>G164+H164</f>
        <v>0</v>
      </c>
      <c r="G164" s="89"/>
      <c r="H164" s="21"/>
      <c r="I164" s="21">
        <f>J164+K164</f>
        <v>0</v>
      </c>
      <c r="J164" s="39">
        <f>ROUND(G164*E164,2)</f>
        <v>0</v>
      </c>
      <c r="K164" s="21"/>
      <c r="L164" s="22"/>
      <c r="M164" s="5"/>
      <c r="N164" s="4"/>
    </row>
    <row r="165" spans="1:14" ht="25.5" x14ac:dyDescent="0.25">
      <c r="A165" s="23" t="str">
        <f>IF(TRIM(E165)&lt;&gt;"",COUNTA($E$10:E165)&amp;"","")</f>
        <v>153</v>
      </c>
      <c r="B165" s="24" t="s">
        <v>87</v>
      </c>
      <c r="C165" s="25" t="s">
        <v>1</v>
      </c>
      <c r="D165" s="26">
        <v>1.02</v>
      </c>
      <c r="E165" s="27">
        <f>E164*D165</f>
        <v>129.46860000000001</v>
      </c>
      <c r="F165" s="27">
        <f t="shared" ref="F165" si="113">G165+H165</f>
        <v>0</v>
      </c>
      <c r="G165" s="27"/>
      <c r="H165" s="90"/>
      <c r="I165" s="27">
        <f t="shared" ref="I165" si="114">J165+K165</f>
        <v>0</v>
      </c>
      <c r="J165" s="27"/>
      <c r="K165" s="27">
        <f>ROUND(H165*E165,2)</f>
        <v>0</v>
      </c>
      <c r="L165" s="30" t="s">
        <v>11</v>
      </c>
      <c r="N165" s="4"/>
    </row>
    <row r="166" spans="1:14" x14ac:dyDescent="0.25">
      <c r="A166" s="23" t="str">
        <f>IF(TRIM(E166)&lt;&gt;"",COUNTA($E$10:E166)&amp;"","")</f>
        <v>154</v>
      </c>
      <c r="B166" s="18" t="s">
        <v>26</v>
      </c>
      <c r="C166" s="19" t="s">
        <v>0</v>
      </c>
      <c r="D166" s="20"/>
      <c r="E166" s="21">
        <v>2</v>
      </c>
      <c r="F166" s="21">
        <f>G166+H166</f>
        <v>0</v>
      </c>
      <c r="G166" s="89"/>
      <c r="H166" s="21"/>
      <c r="I166" s="21">
        <f>J166+K166</f>
        <v>0</v>
      </c>
      <c r="J166" s="39">
        <f>ROUND(G166*E166,2)</f>
        <v>0</v>
      </c>
      <c r="K166" s="21"/>
      <c r="L166" s="22"/>
      <c r="N166" s="4"/>
    </row>
    <row r="167" spans="1:14" ht="38.25" x14ac:dyDescent="0.25">
      <c r="A167" s="23" t="str">
        <f>IF(TRIM(E167)&lt;&gt;"",COUNTA($E$10:E167)&amp;"","")</f>
        <v>155</v>
      </c>
      <c r="B167" s="24" t="s">
        <v>120</v>
      </c>
      <c r="C167" s="25" t="s">
        <v>0</v>
      </c>
      <c r="D167" s="26">
        <v>1</v>
      </c>
      <c r="E167" s="27">
        <f>E166</f>
        <v>2</v>
      </c>
      <c r="F167" s="27">
        <f t="shared" ref="F167" si="115">G167+H167</f>
        <v>0</v>
      </c>
      <c r="G167" s="27"/>
      <c r="H167" s="90"/>
      <c r="I167" s="27">
        <f t="shared" ref="I167" si="116">J167+K167</f>
        <v>0</v>
      </c>
      <c r="J167" s="27"/>
      <c r="K167" s="27">
        <f>ROUND(H167*E167,2)</f>
        <v>0</v>
      </c>
      <c r="L167" s="30" t="s">
        <v>11</v>
      </c>
      <c r="N167" s="4"/>
    </row>
    <row r="168" spans="1:14" x14ac:dyDescent="0.25">
      <c r="A168" s="23" t="str">
        <f>IF(TRIM(E168)&lt;&gt;"",COUNTA($E$10:E168)&amp;"","")</f>
        <v>156</v>
      </c>
      <c r="B168" s="18" t="s">
        <v>44</v>
      </c>
      <c r="C168" s="19" t="s">
        <v>0</v>
      </c>
      <c r="D168" s="20"/>
      <c r="E168" s="21">
        <v>2</v>
      </c>
      <c r="F168" s="21">
        <f>G168+H168</f>
        <v>0</v>
      </c>
      <c r="G168" s="89"/>
      <c r="H168" s="21"/>
      <c r="I168" s="21">
        <f>J168+K168</f>
        <v>0</v>
      </c>
      <c r="J168" s="39">
        <f>ROUND(G168*E168,2)</f>
        <v>0</v>
      </c>
      <c r="K168" s="21"/>
      <c r="L168" s="22"/>
      <c r="N168" s="4"/>
    </row>
    <row r="169" spans="1:14" ht="25.5" x14ac:dyDescent="0.25">
      <c r="A169" s="23" t="str">
        <f>IF(TRIM(E169)&lt;&gt;"",COUNTA($E$10:E169)&amp;"","")</f>
        <v>157</v>
      </c>
      <c r="B169" s="24" t="s">
        <v>54</v>
      </c>
      <c r="C169" s="25" t="s">
        <v>0</v>
      </c>
      <c r="D169" s="26">
        <v>1</v>
      </c>
      <c r="E169" s="27">
        <f>E168*D169</f>
        <v>2</v>
      </c>
      <c r="F169" s="27">
        <f t="shared" ref="F169" si="117">G169+H169</f>
        <v>0</v>
      </c>
      <c r="G169" s="27"/>
      <c r="H169" s="90"/>
      <c r="I169" s="27">
        <f t="shared" ref="I169" si="118">J169+K169</f>
        <v>0</v>
      </c>
      <c r="J169" s="27"/>
      <c r="K169" s="27">
        <f>ROUND(H169*E169,2)</f>
        <v>0</v>
      </c>
      <c r="L169" s="30" t="s">
        <v>11</v>
      </c>
      <c r="N169" s="4"/>
    </row>
    <row r="170" spans="1:14" x14ac:dyDescent="0.25">
      <c r="A170" s="23" t="str">
        <f>IF(TRIM(E170)&lt;&gt;"",COUNTA($E$10:E170)&amp;"","")</f>
        <v>158</v>
      </c>
      <c r="B170" s="18" t="s">
        <v>52</v>
      </c>
      <c r="C170" s="19" t="s">
        <v>0</v>
      </c>
      <c r="D170" s="20"/>
      <c r="E170" s="21">
        <v>2</v>
      </c>
      <c r="F170" s="21">
        <f>G170+H170</f>
        <v>0</v>
      </c>
      <c r="G170" s="89"/>
      <c r="H170" s="21"/>
      <c r="I170" s="21">
        <f>J170+K170</f>
        <v>0</v>
      </c>
      <c r="J170" s="39">
        <f>ROUND(G170*E170,2)</f>
        <v>0</v>
      </c>
      <c r="K170" s="21"/>
      <c r="L170" s="22"/>
      <c r="N170" s="4"/>
    </row>
    <row r="171" spans="1:14" ht="25.5" x14ac:dyDescent="0.25">
      <c r="A171" s="23" t="str">
        <f>IF(TRIM(E171)&lt;&gt;"",COUNTA($E$10:E171)&amp;"","")</f>
        <v>159</v>
      </c>
      <c r="B171" s="31" t="s">
        <v>49</v>
      </c>
      <c r="C171" s="25" t="s">
        <v>0</v>
      </c>
      <c r="D171" s="26">
        <v>0.15</v>
      </c>
      <c r="E171" s="27">
        <f>ROUNDUP(D171*E170,0)</f>
        <v>1</v>
      </c>
      <c r="F171" s="27">
        <f t="shared" ref="F171:F172" si="119">G171+H171</f>
        <v>0</v>
      </c>
      <c r="G171" s="27"/>
      <c r="H171" s="90"/>
      <c r="I171" s="27">
        <f t="shared" ref="I171:I172" si="120">J171+K171</f>
        <v>0</v>
      </c>
      <c r="J171" s="27"/>
      <c r="K171" s="27">
        <f t="shared" ref="K171:K172" si="121">ROUND(H171*E171,2)</f>
        <v>0</v>
      </c>
      <c r="L171" s="30" t="s">
        <v>11</v>
      </c>
      <c r="N171" s="4"/>
    </row>
    <row r="172" spans="1:14" ht="25.5" x14ac:dyDescent="0.25">
      <c r="A172" s="23" t="str">
        <f>IF(TRIM(E172)&lt;&gt;"",COUNTA($E$10:E172)&amp;"","")</f>
        <v>160</v>
      </c>
      <c r="B172" s="24" t="s">
        <v>55</v>
      </c>
      <c r="C172" s="25" t="s">
        <v>0</v>
      </c>
      <c r="D172" s="26">
        <v>1</v>
      </c>
      <c r="E172" s="27">
        <f>E170*D172</f>
        <v>2</v>
      </c>
      <c r="F172" s="27">
        <f t="shared" si="119"/>
        <v>0</v>
      </c>
      <c r="G172" s="27"/>
      <c r="H172" s="90"/>
      <c r="I172" s="27">
        <f t="shared" si="120"/>
        <v>0</v>
      </c>
      <c r="J172" s="27"/>
      <c r="K172" s="27">
        <f t="shared" si="121"/>
        <v>0</v>
      </c>
      <c r="L172" s="30" t="s">
        <v>11</v>
      </c>
      <c r="N172" s="4"/>
    </row>
    <row r="173" spans="1:14" x14ac:dyDescent="0.25">
      <c r="A173" s="23" t="str">
        <f>IF(TRIM(E173)&lt;&gt;"",COUNTA($E$10:E173)&amp;"","")</f>
        <v>161</v>
      </c>
      <c r="B173" s="18" t="s">
        <v>123</v>
      </c>
      <c r="C173" s="19" t="s">
        <v>23</v>
      </c>
      <c r="D173" s="20"/>
      <c r="E173" s="21">
        <f>28.84+8.15+18.5</f>
        <v>55.49</v>
      </c>
      <c r="F173" s="21">
        <f>G173+H173</f>
        <v>0</v>
      </c>
      <c r="G173" s="89"/>
      <c r="H173" s="21"/>
      <c r="I173" s="21">
        <f>J173+K173</f>
        <v>0</v>
      </c>
      <c r="J173" s="39">
        <f>ROUND(G173*E173,2)</f>
        <v>0</v>
      </c>
      <c r="K173" s="21"/>
      <c r="L173" s="22"/>
      <c r="N173" s="4"/>
    </row>
    <row r="174" spans="1:14" ht="25.5" x14ac:dyDescent="0.25">
      <c r="A174" s="23" t="str">
        <f>IF(TRIM(E174)&lt;&gt;"",COUNTA($E$10:E174)&amp;"","")</f>
        <v>162</v>
      </c>
      <c r="B174" s="24" t="s">
        <v>25</v>
      </c>
      <c r="C174" s="26" t="s">
        <v>0</v>
      </c>
      <c r="D174" s="26">
        <v>5</v>
      </c>
      <c r="E174" s="41">
        <f>ROUND(E173*D174,0)</f>
        <v>277</v>
      </c>
      <c r="F174" s="27">
        <f t="shared" ref="F174:F180" si="122">G174+H174</f>
        <v>0</v>
      </c>
      <c r="G174" s="27"/>
      <c r="H174" s="90"/>
      <c r="I174" s="27">
        <f t="shared" ref="I174:I180" si="123">J174+K174</f>
        <v>0</v>
      </c>
      <c r="J174" s="27"/>
      <c r="K174" s="27">
        <f t="shared" ref="K174:K180" si="124">ROUND(H174*E174,2)</f>
        <v>0</v>
      </c>
      <c r="L174" s="26" t="s">
        <v>11</v>
      </c>
      <c r="N174" s="4"/>
    </row>
    <row r="175" spans="1:14" ht="25.5" x14ac:dyDescent="0.25">
      <c r="A175" s="23" t="str">
        <f>IF(TRIM(E175)&lt;&gt;"",COUNTA($E$10:E175)&amp;"","")</f>
        <v>163</v>
      </c>
      <c r="B175" s="24" t="s">
        <v>100</v>
      </c>
      <c r="C175" s="25" t="s">
        <v>23</v>
      </c>
      <c r="D175" s="26">
        <v>1.1000000000000001</v>
      </c>
      <c r="E175" s="27">
        <f>(28.84)*D175</f>
        <v>31.724000000000004</v>
      </c>
      <c r="F175" s="27">
        <f t="shared" si="122"/>
        <v>0</v>
      </c>
      <c r="G175" s="27"/>
      <c r="H175" s="90"/>
      <c r="I175" s="27">
        <f t="shared" si="123"/>
        <v>0</v>
      </c>
      <c r="J175" s="27"/>
      <c r="K175" s="27">
        <f t="shared" si="124"/>
        <v>0</v>
      </c>
      <c r="L175" s="28" t="s">
        <v>11</v>
      </c>
      <c r="N175" s="4"/>
    </row>
    <row r="176" spans="1:14" ht="25.5" x14ac:dyDescent="0.25">
      <c r="A176" s="23" t="str">
        <f>IF(TRIM(E176)&lt;&gt;"",COUNTA($E$10:E176)&amp;"","")</f>
        <v>164</v>
      </c>
      <c r="B176" s="24" t="s">
        <v>103</v>
      </c>
      <c r="C176" s="25" t="s">
        <v>23</v>
      </c>
      <c r="D176" s="26">
        <v>1.1000000000000001</v>
      </c>
      <c r="E176" s="27">
        <f>(8.15)*D176</f>
        <v>8.9650000000000016</v>
      </c>
      <c r="F176" s="27">
        <f t="shared" si="122"/>
        <v>0</v>
      </c>
      <c r="G176" s="27"/>
      <c r="H176" s="90"/>
      <c r="I176" s="27">
        <f t="shared" si="123"/>
        <v>0</v>
      </c>
      <c r="J176" s="27"/>
      <c r="K176" s="27">
        <f t="shared" si="124"/>
        <v>0</v>
      </c>
      <c r="L176" s="28" t="s">
        <v>11</v>
      </c>
      <c r="N176" s="4"/>
    </row>
    <row r="177" spans="1:14" ht="25.5" x14ac:dyDescent="0.25">
      <c r="A177" s="23" t="str">
        <f>IF(TRIM(E177)&lt;&gt;"",COUNTA($E$10:E177)&amp;"","")</f>
        <v>165</v>
      </c>
      <c r="B177" s="24" t="s">
        <v>149</v>
      </c>
      <c r="C177" s="25" t="s">
        <v>23</v>
      </c>
      <c r="D177" s="26">
        <v>1.1000000000000001</v>
      </c>
      <c r="E177" s="27">
        <f>(18.5)*D177</f>
        <v>20.350000000000001</v>
      </c>
      <c r="F177" s="27">
        <f t="shared" si="122"/>
        <v>0</v>
      </c>
      <c r="G177" s="27"/>
      <c r="H177" s="90"/>
      <c r="I177" s="27">
        <f t="shared" si="123"/>
        <v>0</v>
      </c>
      <c r="J177" s="27"/>
      <c r="K177" s="27">
        <f t="shared" si="124"/>
        <v>0</v>
      </c>
      <c r="L177" s="28" t="s">
        <v>11</v>
      </c>
      <c r="N177" s="4"/>
    </row>
    <row r="178" spans="1:14" ht="25.5" x14ac:dyDescent="0.25">
      <c r="A178" s="23" t="str">
        <f>IF(TRIM(E178)&lt;&gt;"",COUNTA($E$10:E178)&amp;"","")</f>
        <v>166</v>
      </c>
      <c r="B178" s="24" t="s">
        <v>106</v>
      </c>
      <c r="C178" s="25" t="s">
        <v>0</v>
      </c>
      <c r="D178" s="26">
        <v>1</v>
      </c>
      <c r="E178" s="27">
        <f>50</f>
        <v>50</v>
      </c>
      <c r="F178" s="27">
        <f t="shared" si="122"/>
        <v>0</v>
      </c>
      <c r="G178" s="27"/>
      <c r="H178" s="90"/>
      <c r="I178" s="27">
        <f t="shared" si="123"/>
        <v>0</v>
      </c>
      <c r="J178" s="27"/>
      <c r="K178" s="27">
        <f t="shared" si="124"/>
        <v>0</v>
      </c>
      <c r="L178" s="30" t="s">
        <v>11</v>
      </c>
      <c r="M178" s="6"/>
      <c r="N178" s="4"/>
    </row>
    <row r="179" spans="1:14" ht="25.5" x14ac:dyDescent="0.25">
      <c r="A179" s="23" t="str">
        <f>IF(TRIM(E179)&lt;&gt;"",COUNTA($E$10:E179)&amp;"","")</f>
        <v>167</v>
      </c>
      <c r="B179" s="24" t="s">
        <v>109</v>
      </c>
      <c r="C179" s="25" t="s">
        <v>0</v>
      </c>
      <c r="D179" s="26">
        <v>1</v>
      </c>
      <c r="E179" s="27">
        <v>14</v>
      </c>
      <c r="F179" s="27">
        <f t="shared" si="122"/>
        <v>0</v>
      </c>
      <c r="G179" s="27"/>
      <c r="H179" s="90"/>
      <c r="I179" s="27">
        <f t="shared" si="123"/>
        <v>0</v>
      </c>
      <c r="J179" s="27"/>
      <c r="K179" s="27">
        <f t="shared" si="124"/>
        <v>0</v>
      </c>
      <c r="L179" s="30" t="s">
        <v>11</v>
      </c>
      <c r="M179" s="6"/>
      <c r="N179" s="4"/>
    </row>
    <row r="180" spans="1:14" ht="25.5" x14ac:dyDescent="0.25">
      <c r="A180" s="23" t="str">
        <f>IF(TRIM(E180)&lt;&gt;"",COUNTA($E$10:E180)&amp;"","")</f>
        <v>168</v>
      </c>
      <c r="B180" s="24" t="s">
        <v>21</v>
      </c>
      <c r="C180" s="25" t="s">
        <v>22</v>
      </c>
      <c r="D180" s="34">
        <v>1.0149999999999999</v>
      </c>
      <c r="E180" s="27">
        <f>(E173)*0.48*((0.05+0.093)/2)*D180</f>
        <v>1.9329830520000002</v>
      </c>
      <c r="F180" s="27">
        <f t="shared" si="122"/>
        <v>0</v>
      </c>
      <c r="G180" s="27"/>
      <c r="H180" s="90"/>
      <c r="I180" s="27">
        <f t="shared" si="123"/>
        <v>0</v>
      </c>
      <c r="J180" s="27"/>
      <c r="K180" s="27">
        <f t="shared" si="124"/>
        <v>0</v>
      </c>
      <c r="L180" s="30" t="s">
        <v>11</v>
      </c>
      <c r="N180" s="4"/>
    </row>
    <row r="181" spans="1:14" ht="51" x14ac:dyDescent="0.25">
      <c r="A181" s="23" t="str">
        <f>IF(TRIM(E181)&lt;&gt;"",COUNTA($E$10:E181)&amp;"","")</f>
        <v>169</v>
      </c>
      <c r="B181" s="42" t="s">
        <v>124</v>
      </c>
      <c r="C181" s="19" t="s">
        <v>0</v>
      </c>
      <c r="D181" s="20"/>
      <c r="E181" s="21">
        <f>SUM(E182:E183)</f>
        <v>3</v>
      </c>
      <c r="F181" s="21">
        <f>G181+H181</f>
        <v>0</v>
      </c>
      <c r="G181" s="89"/>
      <c r="H181" s="21"/>
      <c r="I181" s="21">
        <f>J181+K181</f>
        <v>0</v>
      </c>
      <c r="J181" s="39">
        <f>ROUND(G181*E181,2)</f>
        <v>0</v>
      </c>
      <c r="K181" s="21"/>
      <c r="L181" s="22"/>
      <c r="N181" s="4"/>
    </row>
    <row r="182" spans="1:14" ht="25.5" x14ac:dyDescent="0.25">
      <c r="A182" s="23" t="str">
        <f>IF(TRIM(E182)&lt;&gt;"",COUNTA($E$10:E182)&amp;"","")</f>
        <v>170</v>
      </c>
      <c r="B182" s="24" t="s">
        <v>188</v>
      </c>
      <c r="C182" s="25" t="s">
        <v>0</v>
      </c>
      <c r="D182" s="26">
        <v>1</v>
      </c>
      <c r="E182" s="27">
        <v>2</v>
      </c>
      <c r="F182" s="27">
        <f t="shared" ref="F182:F183" si="125">G182+H182</f>
        <v>0</v>
      </c>
      <c r="G182" s="27"/>
      <c r="H182" s="90"/>
      <c r="I182" s="27">
        <f t="shared" ref="I182:I183" si="126">J182+K182</f>
        <v>0</v>
      </c>
      <c r="J182" s="27"/>
      <c r="K182" s="27">
        <f t="shared" ref="K182:K183" si="127">ROUND(H182*E182,2)</f>
        <v>0</v>
      </c>
      <c r="L182" s="28" t="s">
        <v>11</v>
      </c>
      <c r="N182" s="4"/>
    </row>
    <row r="183" spans="1:14" ht="25.5" x14ac:dyDescent="0.25">
      <c r="A183" s="23" t="str">
        <f>IF(TRIM(E183)&lt;&gt;"",COUNTA($E$10:E183)&amp;"","")</f>
        <v>171</v>
      </c>
      <c r="B183" s="24" t="s">
        <v>189</v>
      </c>
      <c r="C183" s="25" t="s">
        <v>0</v>
      </c>
      <c r="D183" s="26">
        <v>1</v>
      </c>
      <c r="E183" s="27">
        <v>1</v>
      </c>
      <c r="F183" s="27">
        <f t="shared" si="125"/>
        <v>0</v>
      </c>
      <c r="G183" s="27"/>
      <c r="H183" s="90"/>
      <c r="I183" s="27">
        <f t="shared" si="126"/>
        <v>0</v>
      </c>
      <c r="J183" s="27"/>
      <c r="K183" s="27">
        <f t="shared" si="127"/>
        <v>0</v>
      </c>
      <c r="L183" s="28" t="s">
        <v>11</v>
      </c>
      <c r="N183" s="4"/>
    </row>
    <row r="184" spans="1:14" s="5" customFormat="1" x14ac:dyDescent="0.25">
      <c r="A184" s="11"/>
      <c r="B184" s="12" t="s">
        <v>150</v>
      </c>
      <c r="C184" s="12"/>
      <c r="D184" s="13"/>
      <c r="E184" s="13"/>
      <c r="F184" s="13"/>
      <c r="G184" s="13"/>
      <c r="H184" s="13"/>
      <c r="I184" s="13"/>
      <c r="J184" s="13"/>
      <c r="K184" s="13"/>
      <c r="L184" s="13"/>
    </row>
    <row r="185" spans="1:14" s="5" customFormat="1" x14ac:dyDescent="0.25">
      <c r="A185" s="14"/>
      <c r="B185" s="15" t="s">
        <v>115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6"/>
    </row>
    <row r="186" spans="1:14" ht="25.5" x14ac:dyDescent="0.25">
      <c r="A186" s="1" t="str">
        <f>IF(TRIM(E186)&lt;&gt;"",COUNTA($E$10:E186)&amp;"","")</f>
        <v>172</v>
      </c>
      <c r="B186" s="18" t="s">
        <v>50</v>
      </c>
      <c r="C186" s="19" t="s">
        <v>1</v>
      </c>
      <c r="D186" s="20"/>
      <c r="E186" s="21">
        <f>Расчет!E26+Расчет!E27+E204*0.35</f>
        <v>403.53899999999999</v>
      </c>
      <c r="F186" s="21">
        <f>G186+H186</f>
        <v>0</v>
      </c>
      <c r="G186" s="89"/>
      <c r="H186" s="21"/>
      <c r="I186" s="21">
        <f>J186+K186</f>
        <v>0</v>
      </c>
      <c r="J186" s="39">
        <f>ROUND(G186*E186,2)</f>
        <v>0</v>
      </c>
      <c r="K186" s="21"/>
      <c r="L186" s="22"/>
      <c r="N186" s="4"/>
    </row>
    <row r="187" spans="1:14" ht="25.5" x14ac:dyDescent="0.25">
      <c r="A187" s="23" t="str">
        <f>IF(TRIM(E187)&lt;&gt;"",COUNTA($E$10:E187)&amp;"","")</f>
        <v>173</v>
      </c>
      <c r="B187" s="24" t="s">
        <v>75</v>
      </c>
      <c r="C187" s="25" t="s">
        <v>20</v>
      </c>
      <c r="D187" s="26">
        <v>0.35</v>
      </c>
      <c r="E187" s="27">
        <f>E186*D187</f>
        <v>141.23864999999998</v>
      </c>
      <c r="F187" s="27">
        <f t="shared" ref="F187" si="128">G187+H187</f>
        <v>0</v>
      </c>
      <c r="G187" s="27"/>
      <c r="H187" s="90"/>
      <c r="I187" s="27">
        <f t="shared" ref="I187" si="129">J187+K187</f>
        <v>0</v>
      </c>
      <c r="J187" s="27"/>
      <c r="K187" s="27">
        <f>ROUND(H187*E187,2)</f>
        <v>0</v>
      </c>
      <c r="L187" s="28" t="s">
        <v>11</v>
      </c>
      <c r="N187" s="4"/>
    </row>
    <row r="188" spans="1:14" ht="25.5" x14ac:dyDescent="0.25">
      <c r="A188" s="23" t="str">
        <f>IF(TRIM(E188)&lt;&gt;"",COUNTA($E$10:E188)&amp;"","")</f>
        <v>174</v>
      </c>
      <c r="B188" s="18" t="s">
        <v>116</v>
      </c>
      <c r="C188" s="19" t="s">
        <v>1</v>
      </c>
      <c r="D188" s="20"/>
      <c r="E188" s="21">
        <f>E186</f>
        <v>403.53899999999999</v>
      </c>
      <c r="F188" s="21">
        <f>G188+H188</f>
        <v>0</v>
      </c>
      <c r="G188" s="89"/>
      <c r="H188" s="21"/>
      <c r="I188" s="21">
        <f>J188+K188</f>
        <v>0</v>
      </c>
      <c r="J188" s="39">
        <f>ROUND(G188*E188,2)</f>
        <v>0</v>
      </c>
      <c r="K188" s="21"/>
      <c r="L188" s="22"/>
      <c r="N188" s="4"/>
    </row>
    <row r="189" spans="1:14" ht="25.5" x14ac:dyDescent="0.25">
      <c r="A189" s="23" t="str">
        <f>IF(TRIM(E189)&lt;&gt;"",COUNTA($E$10:E189)&amp;"","")</f>
        <v>175</v>
      </c>
      <c r="B189" s="29" t="s">
        <v>76</v>
      </c>
      <c r="C189" s="25" t="s">
        <v>1</v>
      </c>
      <c r="D189" s="26">
        <v>1.1499999999999999</v>
      </c>
      <c r="E189" s="27">
        <f>E188*D189</f>
        <v>464.06984999999997</v>
      </c>
      <c r="F189" s="27">
        <f t="shared" ref="F189:F190" si="130">G189+H189</f>
        <v>0</v>
      </c>
      <c r="G189" s="27"/>
      <c r="H189" s="90"/>
      <c r="I189" s="27">
        <f t="shared" ref="I189:I190" si="131">J189+K189</f>
        <v>0</v>
      </c>
      <c r="J189" s="27"/>
      <c r="K189" s="27">
        <f t="shared" ref="K189:K190" si="132">ROUND(H189*E189,2)</f>
        <v>0</v>
      </c>
      <c r="L189" s="30" t="s">
        <v>11</v>
      </c>
      <c r="N189" s="4"/>
    </row>
    <row r="190" spans="1:14" ht="25.5" x14ac:dyDescent="0.25">
      <c r="A190" s="23" t="str">
        <f>IF(TRIM(E190)&lt;&gt;"",COUNTA($E$10:E190)&amp;"","")</f>
        <v>176</v>
      </c>
      <c r="B190" s="31" t="s">
        <v>117</v>
      </c>
      <c r="C190" s="32" t="s">
        <v>3</v>
      </c>
      <c r="D190" s="33">
        <v>0.3</v>
      </c>
      <c r="E190" s="27">
        <f>E188*D190</f>
        <v>121.06169999999999</v>
      </c>
      <c r="F190" s="27">
        <f t="shared" si="130"/>
        <v>0</v>
      </c>
      <c r="G190" s="27"/>
      <c r="H190" s="90"/>
      <c r="I190" s="27">
        <f t="shared" si="131"/>
        <v>0</v>
      </c>
      <c r="J190" s="27"/>
      <c r="K190" s="27">
        <f t="shared" si="132"/>
        <v>0</v>
      </c>
      <c r="L190" s="30" t="s">
        <v>11</v>
      </c>
      <c r="N190" s="4"/>
    </row>
    <row r="191" spans="1:14" x14ac:dyDescent="0.25">
      <c r="A191" s="23" t="str">
        <f>IF(TRIM(E191)&lt;&gt;"",COUNTA($E$10:E191)&amp;"","")</f>
        <v>177</v>
      </c>
      <c r="B191" s="18" t="s">
        <v>47</v>
      </c>
      <c r="C191" s="19" t="s">
        <v>1</v>
      </c>
      <c r="D191" s="20"/>
      <c r="E191" s="21">
        <f>Расчет!E26+Расчет!E27</f>
        <v>347.49</v>
      </c>
      <c r="F191" s="21">
        <f>G191+H191</f>
        <v>0</v>
      </c>
      <c r="G191" s="89"/>
      <c r="H191" s="21"/>
      <c r="I191" s="21">
        <f>J191+K191</f>
        <v>0</v>
      </c>
      <c r="J191" s="39">
        <f>ROUND(G191*E191,2)</f>
        <v>0</v>
      </c>
      <c r="K191" s="21"/>
      <c r="L191" s="22"/>
      <c r="N191" s="4"/>
    </row>
    <row r="192" spans="1:14" ht="25.5" x14ac:dyDescent="0.25">
      <c r="A192" s="23" t="str">
        <f>IF(TRIM(E192)&lt;&gt;"",COUNTA($E$10:E192)&amp;"","")</f>
        <v>178</v>
      </c>
      <c r="B192" s="29" t="s">
        <v>72</v>
      </c>
      <c r="C192" s="25" t="s">
        <v>22</v>
      </c>
      <c r="D192" s="26">
        <v>1.1000000000000001</v>
      </c>
      <c r="E192" s="27">
        <f>E191*0.1*D192</f>
        <v>38.223900000000008</v>
      </c>
      <c r="F192" s="27">
        <f t="shared" ref="F192" si="133">G192+H192</f>
        <v>0</v>
      </c>
      <c r="G192" s="27"/>
      <c r="H192" s="90"/>
      <c r="I192" s="27">
        <f t="shared" ref="I192" si="134">J192+K192</f>
        <v>0</v>
      </c>
      <c r="J192" s="27"/>
      <c r="K192" s="27">
        <f>ROUND(H192*E192,2)</f>
        <v>0</v>
      </c>
      <c r="L192" s="30" t="s">
        <v>11</v>
      </c>
      <c r="N192" s="4"/>
    </row>
    <row r="193" spans="1:14" x14ac:dyDescent="0.25">
      <c r="A193" s="23" t="str">
        <f>IF(TRIM(E193)&lt;&gt;"",COUNTA($E$10:E193)&amp;"","")</f>
        <v>179</v>
      </c>
      <c r="B193" s="18" t="s">
        <v>88</v>
      </c>
      <c r="C193" s="19" t="s">
        <v>1</v>
      </c>
      <c r="D193" s="20"/>
      <c r="E193" s="21">
        <f>E204*0.47</f>
        <v>75.265799999999999</v>
      </c>
      <c r="F193" s="21">
        <f>G193+H193</f>
        <v>0</v>
      </c>
      <c r="G193" s="89"/>
      <c r="H193" s="21"/>
      <c r="I193" s="21">
        <f>J193+K193</f>
        <v>0</v>
      </c>
      <c r="J193" s="39">
        <f>ROUND(G193*E193,2)</f>
        <v>0</v>
      </c>
      <c r="K193" s="21"/>
      <c r="L193" s="22"/>
      <c r="N193" s="4"/>
    </row>
    <row r="194" spans="1:14" ht="25.5" x14ac:dyDescent="0.25">
      <c r="A194" s="23" t="str">
        <f>IF(TRIM(E194)&lt;&gt;"",COUNTA($E$10:E194)&amp;"","")</f>
        <v>180</v>
      </c>
      <c r="B194" s="29" t="s">
        <v>89</v>
      </c>
      <c r="C194" s="25" t="s">
        <v>22</v>
      </c>
      <c r="D194" s="26">
        <v>1.03</v>
      </c>
      <c r="E194" s="27">
        <f>E193*0.05*D194</f>
        <v>3.8761887000000002</v>
      </c>
      <c r="F194" s="27">
        <f t="shared" ref="F194:F195" si="135">G194+H194</f>
        <v>0</v>
      </c>
      <c r="G194" s="27"/>
      <c r="H194" s="90"/>
      <c r="I194" s="27">
        <f t="shared" ref="I194:I195" si="136">J194+K194</f>
        <v>0</v>
      </c>
      <c r="J194" s="27"/>
      <c r="K194" s="27">
        <f t="shared" ref="K194:K195" si="137">ROUND(H194*E194,2)</f>
        <v>0</v>
      </c>
      <c r="L194" s="30" t="s">
        <v>11</v>
      </c>
      <c r="N194" s="4"/>
    </row>
    <row r="195" spans="1:14" ht="25.5" x14ac:dyDescent="0.25">
      <c r="A195" s="23" t="str">
        <f>IF(TRIM(E195)&lt;&gt;"",COUNTA($E$10:E195)&amp;"","")</f>
        <v>181</v>
      </c>
      <c r="B195" s="29" t="s">
        <v>90</v>
      </c>
      <c r="C195" s="25" t="s">
        <v>0</v>
      </c>
      <c r="D195" s="26">
        <v>5</v>
      </c>
      <c r="E195" s="27">
        <f>ROUND(E193*D195,0)</f>
        <v>376</v>
      </c>
      <c r="F195" s="27">
        <f t="shared" si="135"/>
        <v>0</v>
      </c>
      <c r="G195" s="27"/>
      <c r="H195" s="90"/>
      <c r="I195" s="27">
        <f t="shared" si="136"/>
        <v>0</v>
      </c>
      <c r="J195" s="27"/>
      <c r="K195" s="27">
        <f t="shared" si="137"/>
        <v>0</v>
      </c>
      <c r="L195" s="30" t="s">
        <v>11</v>
      </c>
      <c r="N195" s="4"/>
    </row>
    <row r="196" spans="1:14" x14ac:dyDescent="0.25">
      <c r="A196" s="23" t="str">
        <f>IF(TRIM(E196)&lt;&gt;"",COUNTA($E$10:E196)&amp;"","")</f>
        <v>182</v>
      </c>
      <c r="B196" s="18" t="s">
        <v>91</v>
      </c>
      <c r="C196" s="19" t="s">
        <v>1</v>
      </c>
      <c r="D196" s="20"/>
      <c r="E196" s="21">
        <f>E193</f>
        <v>75.265799999999999</v>
      </c>
      <c r="F196" s="21">
        <f>G196+H196</f>
        <v>0</v>
      </c>
      <c r="G196" s="89"/>
      <c r="H196" s="21"/>
      <c r="I196" s="21">
        <f>J196+K196</f>
        <v>0</v>
      </c>
      <c r="J196" s="39">
        <f>ROUND(G196*E196,2)</f>
        <v>0</v>
      </c>
      <c r="K196" s="21"/>
      <c r="L196" s="22"/>
      <c r="N196" s="4"/>
    </row>
    <row r="197" spans="1:14" ht="25.5" x14ac:dyDescent="0.25">
      <c r="A197" s="23" t="str">
        <f>IF(TRIM(E197)&lt;&gt;"",COUNTA($E$10:E197)&amp;"","")</f>
        <v>183</v>
      </c>
      <c r="B197" s="29" t="s">
        <v>21</v>
      </c>
      <c r="C197" s="25" t="s">
        <v>22</v>
      </c>
      <c r="D197" s="34">
        <v>1.0149999999999999</v>
      </c>
      <c r="E197" s="27">
        <f>E196*0.02*D197</f>
        <v>1.5278957399999999</v>
      </c>
      <c r="F197" s="27">
        <f t="shared" ref="F197:F198" si="138">G197+H197</f>
        <v>0</v>
      </c>
      <c r="G197" s="27"/>
      <c r="H197" s="90"/>
      <c r="I197" s="27">
        <f t="shared" ref="I197:I198" si="139">J197+K197</f>
        <v>0</v>
      </c>
      <c r="J197" s="27"/>
      <c r="K197" s="27">
        <f t="shared" ref="K197:K198" si="140">ROUND(H197*E197,2)</f>
        <v>0</v>
      </c>
      <c r="L197" s="28" t="s">
        <v>11</v>
      </c>
      <c r="N197" s="4"/>
    </row>
    <row r="198" spans="1:14" ht="25.5" x14ac:dyDescent="0.25">
      <c r="A198" s="23" t="str">
        <f>IF(TRIM(E198)&lt;&gt;"",COUNTA($E$10:E198)&amp;"","")</f>
        <v>184</v>
      </c>
      <c r="B198" s="24" t="s">
        <v>92</v>
      </c>
      <c r="C198" s="25" t="s">
        <v>1</v>
      </c>
      <c r="D198" s="26">
        <v>1.2</v>
      </c>
      <c r="E198" s="27">
        <f>E196*D198</f>
        <v>90.31895999999999</v>
      </c>
      <c r="F198" s="27">
        <f t="shared" si="138"/>
        <v>0</v>
      </c>
      <c r="G198" s="27"/>
      <c r="H198" s="90"/>
      <c r="I198" s="27">
        <f t="shared" si="139"/>
        <v>0</v>
      </c>
      <c r="J198" s="27"/>
      <c r="K198" s="27">
        <f t="shared" si="140"/>
        <v>0</v>
      </c>
      <c r="L198" s="28" t="s">
        <v>11</v>
      </c>
      <c r="N198" s="4"/>
    </row>
    <row r="199" spans="1:14" x14ac:dyDescent="0.25">
      <c r="A199" s="23" t="str">
        <f>IF(TRIM(E199)&lt;&gt;"",COUNTA($E$10:E199)&amp;"","")</f>
        <v>185</v>
      </c>
      <c r="B199" s="18" t="s">
        <v>51</v>
      </c>
      <c r="C199" s="19" t="s">
        <v>1</v>
      </c>
      <c r="D199" s="20"/>
      <c r="E199" s="21">
        <f>E191</f>
        <v>347.49</v>
      </c>
      <c r="F199" s="21">
        <f>G199+H199</f>
        <v>0</v>
      </c>
      <c r="G199" s="89"/>
      <c r="H199" s="21"/>
      <c r="I199" s="21">
        <f>J199+K199</f>
        <v>0</v>
      </c>
      <c r="J199" s="39">
        <f>ROUND(G199*E199,2)</f>
        <v>0</v>
      </c>
      <c r="K199" s="21"/>
      <c r="L199" s="22"/>
      <c r="N199" s="4"/>
    </row>
    <row r="200" spans="1:14" ht="25.5" x14ac:dyDescent="0.25">
      <c r="A200" s="23" t="str">
        <f>IF(TRIM(E200)&lt;&gt;"",COUNTA($E$10:E200)&amp;"","")</f>
        <v>186</v>
      </c>
      <c r="B200" s="29" t="s">
        <v>73</v>
      </c>
      <c r="C200" s="25" t="s">
        <v>1</v>
      </c>
      <c r="D200" s="26">
        <v>1.1499999999999999</v>
      </c>
      <c r="E200" s="27">
        <f>E199*D200</f>
        <v>399.61349999999999</v>
      </c>
      <c r="F200" s="27">
        <f t="shared" ref="F200" si="141">G200+H200</f>
        <v>0</v>
      </c>
      <c r="G200" s="27"/>
      <c r="H200" s="90"/>
      <c r="I200" s="27">
        <f t="shared" ref="I200" si="142">J200+K200</f>
        <v>0</v>
      </c>
      <c r="J200" s="27"/>
      <c r="K200" s="27">
        <f>ROUND(H200*E200,2)</f>
        <v>0</v>
      </c>
      <c r="L200" s="30" t="s">
        <v>11</v>
      </c>
      <c r="N200" s="4"/>
    </row>
    <row r="201" spans="1:14" ht="38.25" x14ac:dyDescent="0.25">
      <c r="A201" s="23" t="str">
        <f>IF(TRIM(E201)&lt;&gt;"",COUNTA($E$10:E201)&amp;"","")</f>
        <v>187</v>
      </c>
      <c r="B201" s="18" t="s">
        <v>134</v>
      </c>
      <c r="C201" s="19" t="s">
        <v>1</v>
      </c>
      <c r="D201" s="20"/>
      <c r="E201" s="21">
        <f>Расчет!E26+Расчет!E27</f>
        <v>347.49</v>
      </c>
      <c r="F201" s="21">
        <f>G201+H201</f>
        <v>0</v>
      </c>
      <c r="G201" s="89"/>
      <c r="H201" s="21"/>
      <c r="I201" s="21">
        <f>J201+K201</f>
        <v>0</v>
      </c>
      <c r="J201" s="39">
        <f>ROUND(G201*E201,2)</f>
        <v>0</v>
      </c>
      <c r="K201" s="21"/>
      <c r="L201" s="22"/>
      <c r="M201" s="5"/>
      <c r="N201" s="4"/>
    </row>
    <row r="202" spans="1:14" ht="25.5" x14ac:dyDescent="0.25">
      <c r="A202" s="23" t="str">
        <f>IF(TRIM(E202)&lt;&gt;"",COUNTA($E$10:E202)&amp;"","")</f>
        <v>188</v>
      </c>
      <c r="B202" s="24" t="s">
        <v>21</v>
      </c>
      <c r="C202" s="25" t="s">
        <v>22</v>
      </c>
      <c r="D202" s="34">
        <v>1.0149999999999999</v>
      </c>
      <c r="E202" s="27">
        <f>(Расчет!L31-Расчет!K31)*D202</f>
        <v>49.311034500000119</v>
      </c>
      <c r="F202" s="27">
        <f t="shared" ref="F202:F203" si="143">G202+H202</f>
        <v>0</v>
      </c>
      <c r="G202" s="27"/>
      <c r="H202" s="90"/>
      <c r="I202" s="27">
        <f t="shared" ref="I202:I203" si="144">J202+K202</f>
        <v>0</v>
      </c>
      <c r="J202" s="27"/>
      <c r="K202" s="27">
        <f t="shared" ref="K202:K203" si="145">ROUND(H202*E202,2)</f>
        <v>0</v>
      </c>
      <c r="L202" s="30" t="s">
        <v>11</v>
      </c>
      <c r="N202" s="4"/>
    </row>
    <row r="203" spans="1:14" ht="25.5" x14ac:dyDescent="0.25">
      <c r="A203" s="23" t="str">
        <f>IF(TRIM(E203)&lt;&gt;"",COUNTA($E$10:E203)&amp;"","")</f>
        <v>189</v>
      </c>
      <c r="B203" s="24" t="s">
        <v>74</v>
      </c>
      <c r="C203" s="25" t="s">
        <v>1</v>
      </c>
      <c r="D203" s="26">
        <v>1.2</v>
      </c>
      <c r="E203" s="27">
        <f>E201*D203</f>
        <v>416.988</v>
      </c>
      <c r="F203" s="27">
        <f t="shared" si="143"/>
        <v>0</v>
      </c>
      <c r="G203" s="27"/>
      <c r="H203" s="90"/>
      <c r="I203" s="27">
        <f t="shared" si="144"/>
        <v>0</v>
      </c>
      <c r="J203" s="27"/>
      <c r="K203" s="27">
        <f t="shared" si="145"/>
        <v>0</v>
      </c>
      <c r="L203" s="28" t="s">
        <v>11</v>
      </c>
      <c r="N203" s="4"/>
    </row>
    <row r="204" spans="1:14" ht="38.25" x14ac:dyDescent="0.25">
      <c r="A204" s="23" t="str">
        <f>IF(TRIM(E204)&lt;&gt;"",COUNTA($E$10:E204)&amp;"","")</f>
        <v>190</v>
      </c>
      <c r="B204" s="18" t="s">
        <v>24</v>
      </c>
      <c r="C204" s="19" t="s">
        <v>23</v>
      </c>
      <c r="D204" s="20"/>
      <c r="E204" s="21">
        <f>Расчет!F30</f>
        <v>160.14000000000001</v>
      </c>
      <c r="F204" s="21">
        <f>G204+H204</f>
        <v>0</v>
      </c>
      <c r="G204" s="89"/>
      <c r="H204" s="21"/>
      <c r="I204" s="21">
        <f>J204+K204</f>
        <v>0</v>
      </c>
      <c r="J204" s="39">
        <f>ROUND(G204*E204,2)</f>
        <v>0</v>
      </c>
      <c r="K204" s="21"/>
      <c r="L204" s="22"/>
      <c r="N204" s="4"/>
    </row>
    <row r="205" spans="1:14" ht="25.5" x14ac:dyDescent="0.25">
      <c r="A205" s="23" t="str">
        <f>IF(TRIM(E205)&lt;&gt;"",COUNTA($E$10:E205)&amp;"","")</f>
        <v>191</v>
      </c>
      <c r="B205" s="24" t="s">
        <v>21</v>
      </c>
      <c r="C205" s="25" t="s">
        <v>22</v>
      </c>
      <c r="D205" s="34">
        <v>5.0000000000000001E-3</v>
      </c>
      <c r="E205" s="27">
        <f>D205*E204</f>
        <v>0.80070000000000008</v>
      </c>
      <c r="F205" s="27">
        <f t="shared" ref="F205" si="146">G205+H205</f>
        <v>0</v>
      </c>
      <c r="G205" s="27"/>
      <c r="H205" s="90"/>
      <c r="I205" s="27">
        <f t="shared" ref="I205" si="147">J205+K205</f>
        <v>0</v>
      </c>
      <c r="J205" s="27"/>
      <c r="K205" s="27">
        <f>ROUND(H205*E205,2)</f>
        <v>0</v>
      </c>
      <c r="L205" s="30" t="s">
        <v>11</v>
      </c>
      <c r="N205" s="4"/>
    </row>
    <row r="206" spans="1:14" ht="25.5" x14ac:dyDescent="0.25">
      <c r="A206" s="23" t="str">
        <f>IF(TRIM(E206)&lt;&gt;"",COUNTA($E$10:E206)&amp;"","")</f>
        <v>192</v>
      </c>
      <c r="B206" s="18" t="s">
        <v>50</v>
      </c>
      <c r="C206" s="19" t="s">
        <v>1</v>
      </c>
      <c r="D206" s="20"/>
      <c r="E206" s="21">
        <f>E186</f>
        <v>403.53899999999999</v>
      </c>
      <c r="F206" s="21">
        <f>G206+H206</f>
        <v>0</v>
      </c>
      <c r="G206" s="89"/>
      <c r="H206" s="21"/>
      <c r="I206" s="21">
        <f>J206+K206</f>
        <v>0</v>
      </c>
      <c r="J206" s="39">
        <f>ROUND(G206*E206,2)</f>
        <v>0</v>
      </c>
      <c r="K206" s="21"/>
      <c r="L206" s="22"/>
      <c r="N206" s="4"/>
    </row>
    <row r="207" spans="1:14" ht="25.5" x14ac:dyDescent="0.25">
      <c r="A207" s="23" t="str">
        <f>IF(TRIM(E207)&lt;&gt;"",COUNTA($E$10:E207)&amp;"","")</f>
        <v>193</v>
      </c>
      <c r="B207" s="24" t="s">
        <v>75</v>
      </c>
      <c r="C207" s="25" t="s">
        <v>20</v>
      </c>
      <c r="D207" s="26">
        <v>0.35</v>
      </c>
      <c r="E207" s="27">
        <f>E206*D207</f>
        <v>141.23864999999998</v>
      </c>
      <c r="F207" s="27">
        <f t="shared" ref="F207" si="148">G207+H207</f>
        <v>0</v>
      </c>
      <c r="G207" s="27"/>
      <c r="H207" s="90"/>
      <c r="I207" s="27">
        <f t="shared" ref="I207" si="149">J207+K207</f>
        <v>0</v>
      </c>
      <c r="J207" s="27"/>
      <c r="K207" s="27">
        <f>ROUND(H207*E207,2)</f>
        <v>0</v>
      </c>
      <c r="L207" s="28" t="s">
        <v>11</v>
      </c>
      <c r="N207" s="4"/>
    </row>
    <row r="208" spans="1:14" x14ac:dyDescent="0.25">
      <c r="A208" s="23" t="str">
        <f>IF(TRIM(E208)&lt;&gt;"",COUNTA($E$10:E208)&amp;"","")</f>
        <v>194</v>
      </c>
      <c r="B208" s="18" t="s">
        <v>48</v>
      </c>
      <c r="C208" s="19" t="s">
        <v>1</v>
      </c>
      <c r="D208" s="20"/>
      <c r="E208" s="21">
        <f>Расчет!E26+Расчет!E27</f>
        <v>347.49</v>
      </c>
      <c r="F208" s="21">
        <f>G208+H208</f>
        <v>0</v>
      </c>
      <c r="G208" s="89"/>
      <c r="H208" s="21"/>
      <c r="I208" s="21">
        <f>J208+K208</f>
        <v>0</v>
      </c>
      <c r="J208" s="39">
        <f>ROUND(G208*E208,2)</f>
        <v>0</v>
      </c>
      <c r="K208" s="21"/>
      <c r="L208" s="22"/>
      <c r="N208" s="4"/>
    </row>
    <row r="209" spans="1:14" ht="25.5" x14ac:dyDescent="0.25">
      <c r="A209" s="23" t="str">
        <f>IF(TRIM(E209)&lt;&gt;"",COUNTA($E$10:E209)&amp;"","")</f>
        <v>195</v>
      </c>
      <c r="B209" s="24" t="s">
        <v>77</v>
      </c>
      <c r="C209" s="25" t="s">
        <v>1</v>
      </c>
      <c r="D209" s="26">
        <v>1.1399999999999999</v>
      </c>
      <c r="E209" s="27">
        <f>E208*D209</f>
        <v>396.1386</v>
      </c>
      <c r="F209" s="27">
        <f t="shared" ref="F209:F211" si="150">G209+H209</f>
        <v>0</v>
      </c>
      <c r="G209" s="27"/>
      <c r="H209" s="90"/>
      <c r="I209" s="27">
        <f t="shared" ref="I209:I211" si="151">J209+K209</f>
        <v>0</v>
      </c>
      <c r="J209" s="27"/>
      <c r="K209" s="27">
        <f t="shared" ref="K209:K211" si="152">ROUND(H209*E209,2)</f>
        <v>0</v>
      </c>
      <c r="L209" s="28" t="s">
        <v>11</v>
      </c>
      <c r="N209" s="4"/>
    </row>
    <row r="210" spans="1:14" ht="25.5" x14ac:dyDescent="0.25">
      <c r="A210" s="23" t="str">
        <f>IF(TRIM(E210)&lt;&gt;"",COUNTA($E$10:E210)&amp;"","")</f>
        <v>196</v>
      </c>
      <c r="B210" s="24" t="s">
        <v>118</v>
      </c>
      <c r="C210" s="25" t="s">
        <v>1</v>
      </c>
      <c r="D210" s="26">
        <v>1.1599999999999999</v>
      </c>
      <c r="E210" s="27">
        <f>E208*D210</f>
        <v>403.08839999999998</v>
      </c>
      <c r="F210" s="27">
        <f t="shared" si="150"/>
        <v>0</v>
      </c>
      <c r="G210" s="27"/>
      <c r="H210" s="90"/>
      <c r="I210" s="27">
        <f t="shared" si="151"/>
        <v>0</v>
      </c>
      <c r="J210" s="27"/>
      <c r="K210" s="27">
        <f t="shared" si="152"/>
        <v>0</v>
      </c>
      <c r="L210" s="28" t="s">
        <v>11</v>
      </c>
      <c r="N210" s="4"/>
    </row>
    <row r="211" spans="1:14" ht="25.5" x14ac:dyDescent="0.25">
      <c r="A211" s="23" t="str">
        <f>IF(TRIM(E211)&lt;&gt;"",COUNTA($E$10:E211)&amp;"","")</f>
        <v>197</v>
      </c>
      <c r="B211" s="24" t="s">
        <v>117</v>
      </c>
      <c r="C211" s="32" t="s">
        <v>3</v>
      </c>
      <c r="D211" s="33">
        <v>0.6</v>
      </c>
      <c r="E211" s="27">
        <f>E208*D211</f>
        <v>208.494</v>
      </c>
      <c r="F211" s="27">
        <f t="shared" si="150"/>
        <v>0</v>
      </c>
      <c r="G211" s="27"/>
      <c r="H211" s="90"/>
      <c r="I211" s="27">
        <f t="shared" si="151"/>
        <v>0</v>
      </c>
      <c r="J211" s="27"/>
      <c r="K211" s="27">
        <f t="shared" si="152"/>
        <v>0</v>
      </c>
      <c r="L211" s="28" t="s">
        <v>11</v>
      </c>
      <c r="N211" s="4"/>
    </row>
    <row r="212" spans="1:14" ht="25.5" x14ac:dyDescent="0.25">
      <c r="A212" s="23" t="str">
        <f>IF(TRIM(E212)&lt;&gt;"",COUNTA($E$10:E212)&amp;"","")</f>
        <v>198</v>
      </c>
      <c r="B212" s="18" t="s">
        <v>119</v>
      </c>
      <c r="C212" s="19" t="s">
        <v>23</v>
      </c>
      <c r="D212" s="20"/>
      <c r="E212" s="21">
        <f>E204</f>
        <v>160.14000000000001</v>
      </c>
      <c r="F212" s="21">
        <f>G212+H212</f>
        <v>0</v>
      </c>
      <c r="G212" s="89"/>
      <c r="H212" s="21"/>
      <c r="I212" s="21">
        <f>J212+K212</f>
        <v>0</v>
      </c>
      <c r="J212" s="39">
        <f>ROUND(G212*E212,2)</f>
        <v>0</v>
      </c>
      <c r="K212" s="21"/>
      <c r="L212" s="22"/>
      <c r="N212" s="4"/>
    </row>
    <row r="213" spans="1:14" ht="25.5" x14ac:dyDescent="0.25">
      <c r="A213" s="23" t="str">
        <f>IF(TRIM(E213)&lt;&gt;"",COUNTA($E$10:E213)&amp;"","")</f>
        <v>199</v>
      </c>
      <c r="B213" s="24" t="s">
        <v>77</v>
      </c>
      <c r="C213" s="25" t="s">
        <v>1</v>
      </c>
      <c r="D213" s="26">
        <v>1.1399999999999999</v>
      </c>
      <c r="E213" s="27">
        <f>E212*0.6*D213</f>
        <v>109.53576</v>
      </c>
      <c r="F213" s="27">
        <f t="shared" ref="F213:F218" si="153">G213+H213</f>
        <v>0</v>
      </c>
      <c r="G213" s="27"/>
      <c r="H213" s="90"/>
      <c r="I213" s="27">
        <f t="shared" ref="I213:I218" si="154">J213+K213</f>
        <v>0</v>
      </c>
      <c r="J213" s="27"/>
      <c r="K213" s="27">
        <f t="shared" ref="K213:K218" si="155">ROUND(H213*E213,2)</f>
        <v>0</v>
      </c>
      <c r="L213" s="30" t="s">
        <v>11</v>
      </c>
      <c r="N213" s="4"/>
    </row>
    <row r="214" spans="1:14" ht="25.5" x14ac:dyDescent="0.25">
      <c r="A214" s="23" t="str">
        <f>IF(TRIM(E214)&lt;&gt;"",COUNTA($E$10:E214)&amp;"","")</f>
        <v>200</v>
      </c>
      <c r="B214" s="24" t="s">
        <v>118</v>
      </c>
      <c r="C214" s="25" t="s">
        <v>1</v>
      </c>
      <c r="D214" s="26">
        <v>1.1599999999999999</v>
      </c>
      <c r="E214" s="27">
        <f>E212*0.6*D214</f>
        <v>111.45743999999999</v>
      </c>
      <c r="F214" s="27">
        <f t="shared" si="153"/>
        <v>0</v>
      </c>
      <c r="G214" s="27"/>
      <c r="H214" s="90"/>
      <c r="I214" s="27">
        <f t="shared" si="154"/>
        <v>0</v>
      </c>
      <c r="J214" s="27"/>
      <c r="K214" s="27">
        <f t="shared" si="155"/>
        <v>0</v>
      </c>
      <c r="L214" s="30" t="s">
        <v>11</v>
      </c>
      <c r="N214" s="4"/>
    </row>
    <row r="215" spans="1:14" ht="25.5" x14ac:dyDescent="0.25">
      <c r="A215" s="23" t="str">
        <f>IF(TRIM(E215)&lt;&gt;"",COUNTA($E$10:E215)&amp;"","")</f>
        <v>201</v>
      </c>
      <c r="B215" s="24" t="s">
        <v>117</v>
      </c>
      <c r="C215" s="32" t="s">
        <v>3</v>
      </c>
      <c r="D215" s="26">
        <v>0.6</v>
      </c>
      <c r="E215" s="27">
        <f>E212*D215</f>
        <v>96.084000000000003</v>
      </c>
      <c r="F215" s="27">
        <f t="shared" si="153"/>
        <v>0</v>
      </c>
      <c r="G215" s="27"/>
      <c r="H215" s="90"/>
      <c r="I215" s="27">
        <f t="shared" si="154"/>
        <v>0</v>
      </c>
      <c r="J215" s="27"/>
      <c r="K215" s="27">
        <f t="shared" si="155"/>
        <v>0</v>
      </c>
      <c r="L215" s="30" t="s">
        <v>11</v>
      </c>
      <c r="N215" s="4"/>
    </row>
    <row r="216" spans="1:14" ht="25.5" x14ac:dyDescent="0.25">
      <c r="A216" s="23" t="str">
        <f>IF(TRIM(E216)&lt;&gt;"",COUNTA($E$10:E216)&amp;"","")</f>
        <v>202</v>
      </c>
      <c r="B216" s="24" t="s">
        <v>33</v>
      </c>
      <c r="C216" s="36" t="s">
        <v>2</v>
      </c>
      <c r="D216" s="26">
        <v>1.03</v>
      </c>
      <c r="E216" s="27">
        <f>E212*D216</f>
        <v>164.94420000000002</v>
      </c>
      <c r="F216" s="27">
        <f t="shared" si="153"/>
        <v>0</v>
      </c>
      <c r="G216" s="27"/>
      <c r="H216" s="90"/>
      <c r="I216" s="27">
        <f t="shared" si="154"/>
        <v>0</v>
      </c>
      <c r="J216" s="27"/>
      <c r="K216" s="27">
        <f t="shared" si="155"/>
        <v>0</v>
      </c>
      <c r="L216" s="30" t="s">
        <v>11</v>
      </c>
      <c r="N216" s="4"/>
    </row>
    <row r="217" spans="1:14" ht="25.5" x14ac:dyDescent="0.25">
      <c r="A217" s="23" t="str">
        <f>IF(TRIM(E217)&lt;&gt;"",COUNTA($E$10:E217)&amp;"","")</f>
        <v>203</v>
      </c>
      <c r="B217" s="24" t="s">
        <v>25</v>
      </c>
      <c r="C217" s="32" t="s">
        <v>0</v>
      </c>
      <c r="D217" s="26">
        <v>5</v>
      </c>
      <c r="E217" s="27">
        <f>ROUNDUP(E216*D217,0)</f>
        <v>825</v>
      </c>
      <c r="F217" s="27">
        <f t="shared" si="153"/>
        <v>0</v>
      </c>
      <c r="G217" s="27"/>
      <c r="H217" s="90"/>
      <c r="I217" s="27">
        <f t="shared" si="154"/>
        <v>0</v>
      </c>
      <c r="J217" s="27"/>
      <c r="K217" s="27">
        <f t="shared" si="155"/>
        <v>0</v>
      </c>
      <c r="L217" s="30" t="s">
        <v>11</v>
      </c>
      <c r="N217" s="4"/>
    </row>
    <row r="218" spans="1:14" ht="25.5" x14ac:dyDescent="0.25">
      <c r="A218" s="23" t="str">
        <f>IF(TRIM(E218)&lt;&gt;"",COUNTA($E$10:E218)&amp;"","")</f>
        <v>204</v>
      </c>
      <c r="B218" s="24" t="s">
        <v>57</v>
      </c>
      <c r="C218" s="37" t="s">
        <v>0</v>
      </c>
      <c r="D218" s="26">
        <v>0.15</v>
      </c>
      <c r="E218" s="27">
        <f>ROUNDDOWN(E212*0.15,0)</f>
        <v>24</v>
      </c>
      <c r="F218" s="27">
        <f t="shared" si="153"/>
        <v>0</v>
      </c>
      <c r="G218" s="27"/>
      <c r="H218" s="90"/>
      <c r="I218" s="27">
        <f t="shared" si="154"/>
        <v>0</v>
      </c>
      <c r="J218" s="27"/>
      <c r="K218" s="27">
        <f t="shared" si="155"/>
        <v>0</v>
      </c>
      <c r="L218" s="30" t="s">
        <v>11</v>
      </c>
      <c r="N218" s="4"/>
    </row>
    <row r="219" spans="1:14" x14ac:dyDescent="0.25">
      <c r="A219" s="23" t="str">
        <f>IF(TRIM(E219)&lt;&gt;"",COUNTA($E$10:E219)&amp;"","")</f>
        <v>205</v>
      </c>
      <c r="B219" s="18" t="s">
        <v>26</v>
      </c>
      <c r="C219" s="19" t="s">
        <v>0</v>
      </c>
      <c r="D219" s="20"/>
      <c r="E219" s="21">
        <v>2</v>
      </c>
      <c r="F219" s="21">
        <f>G219+H219</f>
        <v>0</v>
      </c>
      <c r="G219" s="89"/>
      <c r="H219" s="21"/>
      <c r="I219" s="21">
        <f>J219+K219</f>
        <v>0</v>
      </c>
      <c r="J219" s="39">
        <f>ROUND(G219*E219,2)</f>
        <v>0</v>
      </c>
      <c r="K219" s="21"/>
      <c r="L219" s="22"/>
      <c r="N219" s="4"/>
    </row>
    <row r="220" spans="1:14" ht="38.25" x14ac:dyDescent="0.25">
      <c r="A220" s="23" t="str">
        <f>IF(TRIM(E220)&lt;&gt;"",COUNTA($E$10:E220)&amp;"","")</f>
        <v>206</v>
      </c>
      <c r="B220" s="24" t="s">
        <v>120</v>
      </c>
      <c r="C220" s="25" t="s">
        <v>0</v>
      </c>
      <c r="D220" s="26">
        <v>1</v>
      </c>
      <c r="E220" s="27">
        <f>E219</f>
        <v>2</v>
      </c>
      <c r="F220" s="27">
        <f t="shared" ref="F220" si="156">G220+H220</f>
        <v>0</v>
      </c>
      <c r="G220" s="27"/>
      <c r="H220" s="90"/>
      <c r="I220" s="27">
        <f t="shared" ref="I220" si="157">J220+K220</f>
        <v>0</v>
      </c>
      <c r="J220" s="27"/>
      <c r="K220" s="27">
        <f>ROUND(H220*E220,2)</f>
        <v>0</v>
      </c>
      <c r="L220" s="30" t="s">
        <v>11</v>
      </c>
      <c r="N220" s="4"/>
    </row>
    <row r="221" spans="1:14" x14ac:dyDescent="0.25">
      <c r="A221" s="23" t="str">
        <f>IF(TRIM(E221)&lt;&gt;"",COUNTA($E$10:E221)&amp;"","")</f>
        <v>207</v>
      </c>
      <c r="B221" s="18" t="s">
        <v>46</v>
      </c>
      <c r="C221" s="19" t="s">
        <v>0</v>
      </c>
      <c r="D221" s="20"/>
      <c r="E221" s="21">
        <v>1</v>
      </c>
      <c r="F221" s="21">
        <f>G221+H221</f>
        <v>0</v>
      </c>
      <c r="G221" s="89"/>
      <c r="H221" s="21"/>
      <c r="I221" s="21">
        <f>J221+K221</f>
        <v>0</v>
      </c>
      <c r="J221" s="39">
        <f>ROUND(G221*E221,2)</f>
        <v>0</v>
      </c>
      <c r="K221" s="21"/>
      <c r="L221" s="22"/>
      <c r="N221" s="4"/>
    </row>
    <row r="222" spans="1:14" ht="25.5" x14ac:dyDescent="0.25">
      <c r="A222" s="23" t="str">
        <f>IF(TRIM(E222)&lt;&gt;"",COUNTA($E$10:E222)&amp;"","")</f>
        <v>208</v>
      </c>
      <c r="B222" s="24" t="s">
        <v>78</v>
      </c>
      <c r="C222" s="25" t="s">
        <v>0</v>
      </c>
      <c r="D222" s="26">
        <v>1</v>
      </c>
      <c r="E222" s="27">
        <f>E221</f>
        <v>1</v>
      </c>
      <c r="F222" s="27">
        <f t="shared" ref="F222" si="158">G222+H222</f>
        <v>0</v>
      </c>
      <c r="G222" s="27"/>
      <c r="H222" s="90"/>
      <c r="I222" s="27">
        <f t="shared" ref="I222" si="159">J222+K222</f>
        <v>0</v>
      </c>
      <c r="J222" s="27"/>
      <c r="K222" s="27">
        <f>ROUND(H222*E222,2)</f>
        <v>0</v>
      </c>
      <c r="L222" s="30" t="s">
        <v>11</v>
      </c>
      <c r="N222" s="4"/>
    </row>
    <row r="223" spans="1:14" x14ac:dyDescent="0.25">
      <c r="A223" s="23" t="str">
        <f>IF(TRIM(E223)&lt;&gt;"",COUNTA($E$10:E223)&amp;"","")</f>
        <v>209</v>
      </c>
      <c r="B223" s="18" t="s">
        <v>44</v>
      </c>
      <c r="C223" s="19" t="s">
        <v>0</v>
      </c>
      <c r="D223" s="20"/>
      <c r="E223" s="21">
        <v>5</v>
      </c>
      <c r="F223" s="21">
        <f>G223+H223</f>
        <v>0</v>
      </c>
      <c r="G223" s="89"/>
      <c r="H223" s="21"/>
      <c r="I223" s="21">
        <f>J223+K223</f>
        <v>0</v>
      </c>
      <c r="J223" s="39">
        <f>ROUND(G223*E223,2)</f>
        <v>0</v>
      </c>
      <c r="K223" s="21"/>
      <c r="L223" s="22"/>
      <c r="N223" s="4"/>
    </row>
    <row r="224" spans="1:14" ht="25.5" x14ac:dyDescent="0.25">
      <c r="A224" s="23" t="str">
        <f>IF(TRIM(E224)&lt;&gt;"",COUNTA($E$10:E224)&amp;"","")</f>
        <v>210</v>
      </c>
      <c r="B224" s="24" t="s">
        <v>54</v>
      </c>
      <c r="C224" s="25" t="s">
        <v>0</v>
      </c>
      <c r="D224" s="26">
        <v>1</v>
      </c>
      <c r="E224" s="27">
        <f>E223*D224</f>
        <v>5</v>
      </c>
      <c r="F224" s="27">
        <f t="shared" ref="F224" si="160">G224+H224</f>
        <v>0</v>
      </c>
      <c r="G224" s="27"/>
      <c r="H224" s="90"/>
      <c r="I224" s="27">
        <f t="shared" ref="I224" si="161">J224+K224</f>
        <v>0</v>
      </c>
      <c r="J224" s="27"/>
      <c r="K224" s="27">
        <f>ROUND(H224*E224,2)</f>
        <v>0</v>
      </c>
      <c r="L224" s="30" t="s">
        <v>11</v>
      </c>
      <c r="N224" s="4"/>
    </row>
    <row r="225" spans="1:14" x14ac:dyDescent="0.25">
      <c r="A225" s="23" t="str">
        <f>IF(TRIM(E225)&lt;&gt;"",COUNTA($E$10:E225)&amp;"","")</f>
        <v>211</v>
      </c>
      <c r="B225" s="18" t="s">
        <v>52</v>
      </c>
      <c r="C225" s="19" t="s">
        <v>0</v>
      </c>
      <c r="D225" s="20"/>
      <c r="E225" s="21">
        <v>3</v>
      </c>
      <c r="F225" s="21">
        <f>G225+H225</f>
        <v>0</v>
      </c>
      <c r="G225" s="89"/>
      <c r="H225" s="21"/>
      <c r="I225" s="21">
        <f>J225+K225</f>
        <v>0</v>
      </c>
      <c r="J225" s="39">
        <f>ROUND(G225*E225,2)</f>
        <v>0</v>
      </c>
      <c r="K225" s="21"/>
      <c r="L225" s="22"/>
      <c r="N225" s="4"/>
    </row>
    <row r="226" spans="1:14" ht="25.5" x14ac:dyDescent="0.25">
      <c r="A226" s="23" t="str">
        <f>IF(TRIM(E226)&lt;&gt;"",COUNTA($E$10:E226)&amp;"","")</f>
        <v>212</v>
      </c>
      <c r="B226" s="31" t="s">
        <v>49</v>
      </c>
      <c r="C226" s="25" t="s">
        <v>0</v>
      </c>
      <c r="D226" s="26">
        <v>0.15</v>
      </c>
      <c r="E226" s="27">
        <f>ROUNDUP(D226*E225,0)</f>
        <v>1</v>
      </c>
      <c r="F226" s="27">
        <f t="shared" ref="F226:F227" si="162">G226+H226</f>
        <v>0</v>
      </c>
      <c r="G226" s="27"/>
      <c r="H226" s="90"/>
      <c r="I226" s="27">
        <f t="shared" ref="I226:I227" si="163">J226+K226</f>
        <v>0</v>
      </c>
      <c r="J226" s="27"/>
      <c r="K226" s="27">
        <f t="shared" ref="K226:K227" si="164">ROUND(H226*E226,2)</f>
        <v>0</v>
      </c>
      <c r="L226" s="30" t="s">
        <v>11</v>
      </c>
      <c r="N226" s="4"/>
    </row>
    <row r="227" spans="1:14" ht="25.5" x14ac:dyDescent="0.25">
      <c r="A227" s="23" t="str">
        <f>IF(TRIM(E227)&lt;&gt;"",COUNTA($E$10:E227)&amp;"","")</f>
        <v>213</v>
      </c>
      <c r="B227" s="24" t="s">
        <v>55</v>
      </c>
      <c r="C227" s="25" t="s">
        <v>0</v>
      </c>
      <c r="D227" s="26">
        <v>1</v>
      </c>
      <c r="E227" s="27">
        <f>E225*D227</f>
        <v>3</v>
      </c>
      <c r="F227" s="27">
        <f t="shared" si="162"/>
        <v>0</v>
      </c>
      <c r="G227" s="27"/>
      <c r="H227" s="90"/>
      <c r="I227" s="27">
        <f t="shared" si="163"/>
        <v>0</v>
      </c>
      <c r="J227" s="27"/>
      <c r="K227" s="27">
        <f t="shared" si="164"/>
        <v>0</v>
      </c>
      <c r="L227" s="30" t="s">
        <v>11</v>
      </c>
      <c r="N227" s="4"/>
    </row>
    <row r="228" spans="1:14" x14ac:dyDescent="0.25">
      <c r="A228" s="23" t="str">
        <f>IF(TRIM(E228)&lt;&gt;"",COUNTA($E$10:E228)&amp;"","")</f>
        <v>214</v>
      </c>
      <c r="B228" s="18" t="s">
        <v>56</v>
      </c>
      <c r="C228" s="19" t="s">
        <v>0</v>
      </c>
      <c r="D228" s="20"/>
      <c r="E228" s="21">
        <v>1</v>
      </c>
      <c r="F228" s="21">
        <f>G228+H228</f>
        <v>0</v>
      </c>
      <c r="G228" s="89"/>
      <c r="H228" s="21"/>
      <c r="I228" s="21">
        <f>J228+K228</f>
        <v>0</v>
      </c>
      <c r="J228" s="39">
        <f>ROUND(G228*E228,2)</f>
        <v>0</v>
      </c>
      <c r="K228" s="21"/>
      <c r="L228" s="22"/>
      <c r="N228" s="4"/>
    </row>
    <row r="229" spans="1:14" ht="25.5" x14ac:dyDescent="0.25">
      <c r="A229" s="23" t="str">
        <f>IF(TRIM(E229)&lt;&gt;"",COUNTA($E$10:E229)&amp;"","")</f>
        <v>215</v>
      </c>
      <c r="B229" s="24" t="s">
        <v>79</v>
      </c>
      <c r="C229" s="25" t="s">
        <v>0</v>
      </c>
      <c r="D229" s="26">
        <v>1</v>
      </c>
      <c r="E229" s="27">
        <f>D229*E228</f>
        <v>1</v>
      </c>
      <c r="F229" s="27">
        <f t="shared" ref="F229:F232" si="165">G229+H229</f>
        <v>0</v>
      </c>
      <c r="G229" s="27"/>
      <c r="H229" s="90"/>
      <c r="I229" s="27">
        <f t="shared" ref="I229:I232" si="166">J229+K229</f>
        <v>0</v>
      </c>
      <c r="J229" s="27"/>
      <c r="K229" s="27">
        <f t="shared" ref="K229:K232" si="167">ROUND(H229*E229,2)</f>
        <v>0</v>
      </c>
      <c r="L229" s="30" t="s">
        <v>11</v>
      </c>
      <c r="N229" s="4"/>
    </row>
    <row r="230" spans="1:14" ht="25.5" x14ac:dyDescent="0.25">
      <c r="A230" s="23" t="str">
        <f>IF(TRIM(E230)&lt;&gt;"",COUNTA($E$10:E230)&amp;"","")</f>
        <v>216</v>
      </c>
      <c r="B230" s="24" t="s">
        <v>121</v>
      </c>
      <c r="C230" s="25" t="s">
        <v>0</v>
      </c>
      <c r="D230" s="26">
        <v>1</v>
      </c>
      <c r="E230" s="27">
        <f>D230*E228</f>
        <v>1</v>
      </c>
      <c r="F230" s="27">
        <f t="shared" si="165"/>
        <v>0</v>
      </c>
      <c r="G230" s="27"/>
      <c r="H230" s="90"/>
      <c r="I230" s="27">
        <f t="shared" si="166"/>
        <v>0</v>
      </c>
      <c r="J230" s="27"/>
      <c r="K230" s="27">
        <f t="shared" si="167"/>
        <v>0</v>
      </c>
      <c r="L230" s="30" t="s">
        <v>11</v>
      </c>
      <c r="N230" s="4"/>
    </row>
    <row r="231" spans="1:14" ht="25.5" x14ac:dyDescent="0.25">
      <c r="A231" s="23" t="str">
        <f>IF(TRIM(E231)&lt;&gt;"",COUNTA($E$10:E231)&amp;"","")</f>
        <v>217</v>
      </c>
      <c r="B231" s="24" t="s">
        <v>80</v>
      </c>
      <c r="C231" s="25" t="s">
        <v>0</v>
      </c>
      <c r="D231" s="26">
        <v>1</v>
      </c>
      <c r="E231" s="27">
        <f>D231*E228</f>
        <v>1</v>
      </c>
      <c r="F231" s="27">
        <f t="shared" si="165"/>
        <v>0</v>
      </c>
      <c r="G231" s="27"/>
      <c r="H231" s="90"/>
      <c r="I231" s="27">
        <f t="shared" si="166"/>
        <v>0</v>
      </c>
      <c r="J231" s="27"/>
      <c r="K231" s="27">
        <f t="shared" si="167"/>
        <v>0</v>
      </c>
      <c r="L231" s="30" t="s">
        <v>11</v>
      </c>
      <c r="N231" s="4"/>
    </row>
    <row r="232" spans="1:14" ht="25.5" x14ac:dyDescent="0.25">
      <c r="A232" s="23" t="str">
        <f>IF(TRIM(E232)&lt;&gt;"",COUNTA($E$10:E232)&amp;"","")</f>
        <v>218</v>
      </c>
      <c r="B232" s="24" t="s">
        <v>27</v>
      </c>
      <c r="C232" s="25" t="s">
        <v>0</v>
      </c>
      <c r="D232" s="26">
        <v>2</v>
      </c>
      <c r="E232" s="27">
        <f>D232*E228</f>
        <v>2</v>
      </c>
      <c r="F232" s="27">
        <f t="shared" si="165"/>
        <v>0</v>
      </c>
      <c r="G232" s="27"/>
      <c r="H232" s="90"/>
      <c r="I232" s="27">
        <f t="shared" si="166"/>
        <v>0</v>
      </c>
      <c r="J232" s="27"/>
      <c r="K232" s="27">
        <f t="shared" si="167"/>
        <v>0</v>
      </c>
      <c r="L232" s="30" t="s">
        <v>11</v>
      </c>
      <c r="N232" s="4"/>
    </row>
    <row r="233" spans="1:14" x14ac:dyDescent="0.25">
      <c r="A233" s="23" t="str">
        <f>IF(TRIM(E233)&lt;&gt;"",COUNTA($E$10:E233)&amp;"","")</f>
        <v>219</v>
      </c>
      <c r="B233" s="43" t="s">
        <v>171</v>
      </c>
      <c r="C233" s="19" t="s">
        <v>0</v>
      </c>
      <c r="D233" s="38"/>
      <c r="E233" s="21">
        <v>1</v>
      </c>
      <c r="F233" s="21">
        <f>G233+H233</f>
        <v>0</v>
      </c>
      <c r="G233" s="89"/>
      <c r="H233" s="21"/>
      <c r="I233" s="21">
        <f>J233+K233</f>
        <v>0</v>
      </c>
      <c r="J233" s="39">
        <f>ROUND(G233*E233,2)</f>
        <v>0</v>
      </c>
      <c r="K233" s="21"/>
      <c r="L233" s="40"/>
      <c r="N233" s="4"/>
    </row>
    <row r="234" spans="1:14" ht="25.5" x14ac:dyDescent="0.25">
      <c r="A234" s="23" t="str">
        <f>IF(TRIM(E234)&lt;&gt;"",COUNTA($E$10:E234)&amp;"","")</f>
        <v>220</v>
      </c>
      <c r="B234" s="31" t="s">
        <v>93</v>
      </c>
      <c r="C234" s="25" t="s">
        <v>3</v>
      </c>
      <c r="D234" s="37">
        <v>1.03</v>
      </c>
      <c r="E234" s="44">
        <f>ROUND((2.863*4.81)*2*D234*E233,2)</f>
        <v>28.37</v>
      </c>
      <c r="F234" s="27">
        <f t="shared" ref="F234:F245" si="168">G234+H234</f>
        <v>0</v>
      </c>
      <c r="G234" s="27"/>
      <c r="H234" s="90"/>
      <c r="I234" s="27">
        <f t="shared" ref="I234:I245" si="169">J234+K234</f>
        <v>0</v>
      </c>
      <c r="J234" s="27"/>
      <c r="K234" s="27">
        <f t="shared" ref="K234:K245" si="170">ROUND(H234*E234,2)</f>
        <v>0</v>
      </c>
      <c r="L234" s="30" t="s">
        <v>11</v>
      </c>
      <c r="N234" s="4"/>
    </row>
    <row r="235" spans="1:14" ht="25.5" x14ac:dyDescent="0.25">
      <c r="A235" s="23" t="str">
        <f>IF(TRIM(E235)&lt;&gt;"",COUNTA($E$10:E235)&amp;"","")</f>
        <v>221</v>
      </c>
      <c r="B235" s="31" t="s">
        <v>94</v>
      </c>
      <c r="C235" s="25" t="s">
        <v>3</v>
      </c>
      <c r="D235" s="37">
        <v>1.03</v>
      </c>
      <c r="E235" s="45">
        <f>ROUND((0.343*4.81)*2*D235*E233,2)</f>
        <v>3.4</v>
      </c>
      <c r="F235" s="27">
        <f t="shared" si="168"/>
        <v>0</v>
      </c>
      <c r="G235" s="27"/>
      <c r="H235" s="90"/>
      <c r="I235" s="27">
        <f t="shared" si="169"/>
        <v>0</v>
      </c>
      <c r="J235" s="27"/>
      <c r="K235" s="27">
        <f t="shared" si="170"/>
        <v>0</v>
      </c>
      <c r="L235" s="30" t="s">
        <v>11</v>
      </c>
      <c r="N235" s="4"/>
    </row>
    <row r="236" spans="1:14" ht="25.5" x14ac:dyDescent="0.25">
      <c r="A236" s="23" t="str">
        <f>IF(TRIM(E236)&lt;&gt;"",COUNTA($E$10:E236)&amp;"","")</f>
        <v>222</v>
      </c>
      <c r="B236" s="31" t="s">
        <v>95</v>
      </c>
      <c r="C236" s="25" t="s">
        <v>3</v>
      </c>
      <c r="D236" s="37">
        <v>1.03</v>
      </c>
      <c r="E236" s="45">
        <f>ROUND((0.48*4.81)*10*D236*E233,2)</f>
        <v>23.78</v>
      </c>
      <c r="F236" s="27">
        <f t="shared" si="168"/>
        <v>0</v>
      </c>
      <c r="G236" s="27"/>
      <c r="H236" s="90"/>
      <c r="I236" s="27">
        <f t="shared" si="169"/>
        <v>0</v>
      </c>
      <c r="J236" s="27"/>
      <c r="K236" s="27">
        <f t="shared" si="170"/>
        <v>0</v>
      </c>
      <c r="L236" s="30" t="s">
        <v>11</v>
      </c>
      <c r="N236" s="4"/>
    </row>
    <row r="237" spans="1:14" ht="25.5" x14ac:dyDescent="0.25">
      <c r="A237" s="23" t="str">
        <f>IF(TRIM(E237)&lt;&gt;"",COUNTA($E$10:E237)&amp;"","")</f>
        <v>223</v>
      </c>
      <c r="B237" s="31" t="s">
        <v>58</v>
      </c>
      <c r="C237" s="25" t="s">
        <v>3</v>
      </c>
      <c r="D237" s="37">
        <v>1.03</v>
      </c>
      <c r="E237" s="45">
        <f>ROUND((0.3*4.81)*2*D237*E233,2)</f>
        <v>2.97</v>
      </c>
      <c r="F237" s="27">
        <f t="shared" si="168"/>
        <v>0</v>
      </c>
      <c r="G237" s="27"/>
      <c r="H237" s="90"/>
      <c r="I237" s="27">
        <f t="shared" si="169"/>
        <v>0</v>
      </c>
      <c r="J237" s="27"/>
      <c r="K237" s="27">
        <f t="shared" si="170"/>
        <v>0</v>
      </c>
      <c r="L237" s="30" t="s">
        <v>11</v>
      </c>
      <c r="N237" s="4"/>
    </row>
    <row r="238" spans="1:14" ht="25.5" x14ac:dyDescent="0.25">
      <c r="A238" s="23" t="str">
        <f>IF(TRIM(E238)&lt;&gt;"",COUNTA($E$10:E238)&amp;"","")</f>
        <v>224</v>
      </c>
      <c r="B238" s="31" t="s">
        <v>59</v>
      </c>
      <c r="C238" s="25" t="s">
        <v>3</v>
      </c>
      <c r="D238" s="32">
        <v>1.03</v>
      </c>
      <c r="E238" s="45">
        <f>ROUND(5.55*0.73*8*D238*E233,2)</f>
        <v>33.380000000000003</v>
      </c>
      <c r="F238" s="27">
        <f t="shared" si="168"/>
        <v>0</v>
      </c>
      <c r="G238" s="27"/>
      <c r="H238" s="90"/>
      <c r="I238" s="27">
        <f t="shared" si="169"/>
        <v>0</v>
      </c>
      <c r="J238" s="27"/>
      <c r="K238" s="27">
        <f t="shared" si="170"/>
        <v>0</v>
      </c>
      <c r="L238" s="30" t="s">
        <v>11</v>
      </c>
      <c r="N238" s="4"/>
    </row>
    <row r="239" spans="1:14" ht="25.5" x14ac:dyDescent="0.25">
      <c r="A239" s="23" t="str">
        <f>IF(TRIM(E239)&lt;&gt;"",COUNTA($E$10:E239)&amp;"","")</f>
        <v>225</v>
      </c>
      <c r="B239" s="31" t="s">
        <v>122</v>
      </c>
      <c r="C239" s="25" t="s">
        <v>3</v>
      </c>
      <c r="D239" s="32">
        <v>1.03</v>
      </c>
      <c r="E239" s="45">
        <f>ROUND(4.43*2.48*2*D239*E233,2)</f>
        <v>22.63</v>
      </c>
      <c r="F239" s="27">
        <f t="shared" si="168"/>
        <v>0</v>
      </c>
      <c r="G239" s="27"/>
      <c r="H239" s="90"/>
      <c r="I239" s="27">
        <f t="shared" si="169"/>
        <v>0</v>
      </c>
      <c r="J239" s="27"/>
      <c r="K239" s="27">
        <f t="shared" si="170"/>
        <v>0</v>
      </c>
      <c r="L239" s="30" t="s">
        <v>11</v>
      </c>
      <c r="N239" s="4"/>
    </row>
    <row r="240" spans="1:14" ht="25.5" x14ac:dyDescent="0.25">
      <c r="A240" s="23" t="str">
        <f>IF(TRIM(E240)&lt;&gt;"",COUNTA($E$10:E240)&amp;"","")</f>
        <v>226</v>
      </c>
      <c r="B240" s="31" t="s">
        <v>60</v>
      </c>
      <c r="C240" s="25" t="s">
        <v>0</v>
      </c>
      <c r="D240" s="37">
        <v>1</v>
      </c>
      <c r="E240" s="46">
        <f>40*E233</f>
        <v>40</v>
      </c>
      <c r="F240" s="27">
        <f t="shared" si="168"/>
        <v>0</v>
      </c>
      <c r="G240" s="27"/>
      <c r="H240" s="90"/>
      <c r="I240" s="27">
        <f t="shared" si="169"/>
        <v>0</v>
      </c>
      <c r="J240" s="27"/>
      <c r="K240" s="27">
        <f t="shared" si="170"/>
        <v>0</v>
      </c>
      <c r="L240" s="30" t="s">
        <v>11</v>
      </c>
      <c r="N240" s="4"/>
    </row>
    <row r="241" spans="1:14" ht="25.5" x14ac:dyDescent="0.25">
      <c r="A241" s="23" t="str">
        <f>IF(TRIM(E241)&lt;&gt;"",COUNTA($E$10:E241)&amp;"","")</f>
        <v>227</v>
      </c>
      <c r="B241" s="31" t="s">
        <v>61</v>
      </c>
      <c r="C241" s="25" t="s">
        <v>3</v>
      </c>
      <c r="D241" s="37">
        <v>1.03</v>
      </c>
      <c r="E241" s="45">
        <f>ROUND((0.15*0.12*78.5)*8*D241*E233,2)</f>
        <v>11.64</v>
      </c>
      <c r="F241" s="27">
        <f t="shared" si="168"/>
        <v>0</v>
      </c>
      <c r="G241" s="27"/>
      <c r="H241" s="90"/>
      <c r="I241" s="27">
        <f t="shared" si="169"/>
        <v>0</v>
      </c>
      <c r="J241" s="27"/>
      <c r="K241" s="27">
        <f t="shared" si="170"/>
        <v>0</v>
      </c>
      <c r="L241" s="30" t="s">
        <v>11</v>
      </c>
      <c r="N241" s="4"/>
    </row>
    <row r="242" spans="1:14" ht="25.5" x14ac:dyDescent="0.25">
      <c r="A242" s="23" t="str">
        <f>IF(TRIM(E242)&lt;&gt;"",COUNTA($E$10:E242)&amp;"","")</f>
        <v>228</v>
      </c>
      <c r="B242" s="47" t="s">
        <v>96</v>
      </c>
      <c r="C242" s="25" t="s">
        <v>3</v>
      </c>
      <c r="D242" s="37">
        <v>1.03</v>
      </c>
      <c r="E242" s="45">
        <f>ROUND((1.19*0.73*39.25)*1*D242*E233,2)</f>
        <v>35.119999999999997</v>
      </c>
      <c r="F242" s="27">
        <f t="shared" si="168"/>
        <v>0</v>
      </c>
      <c r="G242" s="27"/>
      <c r="H242" s="90"/>
      <c r="I242" s="27">
        <f t="shared" si="169"/>
        <v>0</v>
      </c>
      <c r="J242" s="27"/>
      <c r="K242" s="27">
        <f t="shared" si="170"/>
        <v>0</v>
      </c>
      <c r="L242" s="30" t="s">
        <v>11</v>
      </c>
      <c r="N242" s="4"/>
    </row>
    <row r="243" spans="1:14" ht="25.5" x14ac:dyDescent="0.25">
      <c r="A243" s="23" t="str">
        <f>IF(TRIM(E243)&lt;&gt;"",COUNTA($E$10:E243)&amp;"","")</f>
        <v>229</v>
      </c>
      <c r="B243" s="31" t="s">
        <v>97</v>
      </c>
      <c r="C243" s="25" t="s">
        <v>3</v>
      </c>
      <c r="D243" s="37">
        <v>1.03</v>
      </c>
      <c r="E243" s="45">
        <f>ROUND((1.19*4.81)*2*D243*E233,2)</f>
        <v>11.79</v>
      </c>
      <c r="F243" s="27">
        <f t="shared" si="168"/>
        <v>0</v>
      </c>
      <c r="G243" s="27"/>
      <c r="H243" s="90"/>
      <c r="I243" s="27">
        <f t="shared" si="169"/>
        <v>0</v>
      </c>
      <c r="J243" s="27"/>
      <c r="K243" s="27">
        <f t="shared" si="170"/>
        <v>0</v>
      </c>
      <c r="L243" s="30" t="s">
        <v>11</v>
      </c>
      <c r="N243" s="4"/>
    </row>
    <row r="244" spans="1:14" ht="25.5" x14ac:dyDescent="0.25">
      <c r="A244" s="23" t="str">
        <f>IF(TRIM(E244)&lt;&gt;"",COUNTA($E$10:E244)&amp;"","")</f>
        <v>230</v>
      </c>
      <c r="B244" s="31" t="s">
        <v>62</v>
      </c>
      <c r="C244" s="25" t="s">
        <v>3</v>
      </c>
      <c r="D244" s="37">
        <v>1.03</v>
      </c>
      <c r="E244" s="45">
        <f>ROUND((0.73*4.81)*2*D244*E233,2)</f>
        <v>7.23</v>
      </c>
      <c r="F244" s="27">
        <f t="shared" si="168"/>
        <v>0</v>
      </c>
      <c r="G244" s="27"/>
      <c r="H244" s="90"/>
      <c r="I244" s="27">
        <f t="shared" si="169"/>
        <v>0</v>
      </c>
      <c r="J244" s="27"/>
      <c r="K244" s="27">
        <f t="shared" si="170"/>
        <v>0</v>
      </c>
      <c r="L244" s="30" t="s">
        <v>11</v>
      </c>
      <c r="N244" s="4"/>
    </row>
    <row r="245" spans="1:14" ht="25.5" x14ac:dyDescent="0.25">
      <c r="A245" s="23" t="str">
        <f>IF(TRIM(E245)&lt;&gt;"",COUNTA($E$10:E245)&amp;"","")</f>
        <v>231</v>
      </c>
      <c r="B245" s="31" t="s">
        <v>98</v>
      </c>
      <c r="C245" s="25" t="s">
        <v>3</v>
      </c>
      <c r="D245" s="37">
        <v>1.03</v>
      </c>
      <c r="E245" s="45">
        <f>ROUND((0.29*4.81)*2*D245*E233,2)</f>
        <v>2.87</v>
      </c>
      <c r="F245" s="27">
        <f t="shared" si="168"/>
        <v>0</v>
      </c>
      <c r="G245" s="27"/>
      <c r="H245" s="90"/>
      <c r="I245" s="27">
        <f t="shared" si="169"/>
        <v>0</v>
      </c>
      <c r="J245" s="27"/>
      <c r="K245" s="27">
        <f t="shared" si="170"/>
        <v>0</v>
      </c>
      <c r="L245" s="30" t="s">
        <v>11</v>
      </c>
      <c r="N245" s="4"/>
    </row>
    <row r="246" spans="1:14" ht="25.5" x14ac:dyDescent="0.25">
      <c r="A246" s="23" t="str">
        <f>IF(TRIM(E246)&lt;&gt;"",COUNTA($E$10:E246)&amp;"","")</f>
        <v>232</v>
      </c>
      <c r="B246" s="43" t="s">
        <v>114</v>
      </c>
      <c r="C246" s="19" t="s">
        <v>1</v>
      </c>
      <c r="D246" s="38"/>
      <c r="E246" s="21">
        <f>(8.7+2.2+1.26+1.1)/2*E233</f>
        <v>6.629999999999999</v>
      </c>
      <c r="F246" s="21">
        <f>G246+H246</f>
        <v>0</v>
      </c>
      <c r="G246" s="89"/>
      <c r="H246" s="21"/>
      <c r="I246" s="21">
        <f>J246+K246</f>
        <v>0</v>
      </c>
      <c r="J246" s="39">
        <f>ROUND(G246*E246,2)</f>
        <v>0</v>
      </c>
      <c r="K246" s="21"/>
      <c r="L246" s="40"/>
      <c r="N246" s="4"/>
    </row>
    <row r="247" spans="1:14" ht="25.5" x14ac:dyDescent="0.25">
      <c r="A247" s="23" t="str">
        <f>IF(TRIM(E247)&lt;&gt;"",COUNTA($E$10:E247)&amp;"","")</f>
        <v>233</v>
      </c>
      <c r="B247" s="31" t="s">
        <v>63</v>
      </c>
      <c r="C247" s="25" t="s">
        <v>3</v>
      </c>
      <c r="D247" s="37">
        <v>0.24</v>
      </c>
      <c r="E247" s="45">
        <f>ROUND((8.7+2.2+1.26+1.1)/2*D247*E233,2)</f>
        <v>1.59</v>
      </c>
      <c r="F247" s="27">
        <f t="shared" ref="F247:F248" si="171">G247+H247</f>
        <v>0</v>
      </c>
      <c r="G247" s="27"/>
      <c r="H247" s="90"/>
      <c r="I247" s="27">
        <f t="shared" ref="I247:I248" si="172">J247+K247</f>
        <v>0</v>
      </c>
      <c r="J247" s="27"/>
      <c r="K247" s="27">
        <f t="shared" ref="K247:K248" si="173">ROUND(H247*E247,2)</f>
        <v>0</v>
      </c>
      <c r="L247" s="30" t="s">
        <v>11</v>
      </c>
      <c r="N247" s="4"/>
    </row>
    <row r="248" spans="1:14" ht="25.5" x14ac:dyDescent="0.25">
      <c r="A248" s="23" t="str">
        <f>IF(TRIM(E248)&lt;&gt;"",COUNTA($E$10:E248)&amp;"","")</f>
        <v>234</v>
      </c>
      <c r="B248" s="31" t="s">
        <v>64</v>
      </c>
      <c r="C248" s="25" t="s">
        <v>3</v>
      </c>
      <c r="D248" s="37">
        <v>0.3</v>
      </c>
      <c r="E248" s="45">
        <f>ROUND((8.7+2.2+1.26+1.1)/2*D248*E233,2)</f>
        <v>1.99</v>
      </c>
      <c r="F248" s="27">
        <f t="shared" si="171"/>
        <v>0</v>
      </c>
      <c r="G248" s="27"/>
      <c r="H248" s="90"/>
      <c r="I248" s="27">
        <f t="shared" si="172"/>
        <v>0</v>
      </c>
      <c r="J248" s="27"/>
      <c r="K248" s="27">
        <f t="shared" si="173"/>
        <v>0</v>
      </c>
      <c r="L248" s="30" t="s">
        <v>11</v>
      </c>
      <c r="N248" s="4"/>
    </row>
    <row r="249" spans="1:14" x14ac:dyDescent="0.25">
      <c r="A249" s="23" t="str">
        <f>IF(TRIM(E249)&lt;&gt;"",COUNTA($E$10:E249)&amp;"","")</f>
        <v>235</v>
      </c>
      <c r="B249" s="18" t="s">
        <v>123</v>
      </c>
      <c r="C249" s="19" t="s">
        <v>23</v>
      </c>
      <c r="D249" s="20"/>
      <c r="E249" s="21">
        <f>6.2+82.67+33+3+18.79</f>
        <v>143.66</v>
      </c>
      <c r="F249" s="21">
        <f>G249+H249</f>
        <v>0</v>
      </c>
      <c r="G249" s="89"/>
      <c r="H249" s="21"/>
      <c r="I249" s="21">
        <f>J249+K249</f>
        <v>0</v>
      </c>
      <c r="J249" s="39">
        <f>ROUND(G249*E249,2)</f>
        <v>0</v>
      </c>
      <c r="K249" s="21"/>
      <c r="L249" s="22"/>
      <c r="N249" s="4"/>
    </row>
    <row r="250" spans="1:14" ht="25.5" x14ac:dyDescent="0.25">
      <c r="A250" s="23" t="str">
        <f>IF(TRIM(E250)&lt;&gt;"",COUNTA($E$10:E250)&amp;"","")</f>
        <v>236</v>
      </c>
      <c r="B250" s="24" t="s">
        <v>25</v>
      </c>
      <c r="C250" s="26" t="s">
        <v>0</v>
      </c>
      <c r="D250" s="26">
        <v>5</v>
      </c>
      <c r="E250" s="41">
        <f>ROUND(E249*D250,0)</f>
        <v>718</v>
      </c>
      <c r="F250" s="27">
        <f t="shared" ref="F250:F261" si="174">G250+H250</f>
        <v>0</v>
      </c>
      <c r="G250" s="27"/>
      <c r="H250" s="90"/>
      <c r="I250" s="27">
        <f t="shared" ref="I250:I261" si="175">J250+K250</f>
        <v>0</v>
      </c>
      <c r="J250" s="27"/>
      <c r="K250" s="27">
        <f t="shared" ref="K250:K261" si="176">ROUND(H250*E250,2)</f>
        <v>0</v>
      </c>
      <c r="L250" s="26" t="s">
        <v>11</v>
      </c>
      <c r="N250" s="4"/>
    </row>
    <row r="251" spans="1:14" ht="25.5" x14ac:dyDescent="0.25">
      <c r="A251" s="23" t="str">
        <f>IF(TRIM(E251)&lt;&gt;"",COUNTA($E$10:E251)&amp;"","")</f>
        <v>237</v>
      </c>
      <c r="B251" s="24" t="s">
        <v>99</v>
      </c>
      <c r="C251" s="25" t="s">
        <v>23</v>
      </c>
      <c r="D251" s="26">
        <v>1.1000000000000001</v>
      </c>
      <c r="E251" s="27">
        <f>6.2*D251</f>
        <v>6.8200000000000012</v>
      </c>
      <c r="F251" s="27">
        <f t="shared" si="174"/>
        <v>0</v>
      </c>
      <c r="G251" s="27"/>
      <c r="H251" s="90"/>
      <c r="I251" s="27">
        <f t="shared" si="175"/>
        <v>0</v>
      </c>
      <c r="J251" s="27"/>
      <c r="K251" s="27">
        <f t="shared" si="176"/>
        <v>0</v>
      </c>
      <c r="L251" s="28" t="s">
        <v>11</v>
      </c>
      <c r="N251" s="4"/>
    </row>
    <row r="252" spans="1:14" ht="25.5" x14ac:dyDescent="0.25">
      <c r="A252" s="23" t="str">
        <f>IF(TRIM(E252)&lt;&gt;"",COUNTA($E$10:E252)&amp;"","")</f>
        <v>238</v>
      </c>
      <c r="B252" s="24" t="s">
        <v>100</v>
      </c>
      <c r="C252" s="25" t="s">
        <v>23</v>
      </c>
      <c r="D252" s="26">
        <v>1.1000000000000001</v>
      </c>
      <c r="E252" s="27">
        <f>82.67*D252</f>
        <v>90.937000000000012</v>
      </c>
      <c r="F252" s="27">
        <f t="shared" si="174"/>
        <v>0</v>
      </c>
      <c r="G252" s="27"/>
      <c r="H252" s="90"/>
      <c r="I252" s="27">
        <f t="shared" si="175"/>
        <v>0</v>
      </c>
      <c r="J252" s="27"/>
      <c r="K252" s="27">
        <f t="shared" si="176"/>
        <v>0</v>
      </c>
      <c r="L252" s="28" t="s">
        <v>11</v>
      </c>
      <c r="N252" s="4"/>
    </row>
    <row r="253" spans="1:14" ht="25.5" x14ac:dyDescent="0.25">
      <c r="A253" s="23" t="str">
        <f>IF(TRIM(E253)&lt;&gt;"",COUNTA($E$10:E253)&amp;"","")</f>
        <v>239</v>
      </c>
      <c r="B253" s="24" t="s">
        <v>103</v>
      </c>
      <c r="C253" s="25" t="s">
        <v>23</v>
      </c>
      <c r="D253" s="26">
        <v>1.1000000000000001</v>
      </c>
      <c r="E253" s="27">
        <f>33*D253</f>
        <v>36.300000000000004</v>
      </c>
      <c r="F253" s="27">
        <f t="shared" si="174"/>
        <v>0</v>
      </c>
      <c r="G253" s="27"/>
      <c r="H253" s="90"/>
      <c r="I253" s="27">
        <f t="shared" si="175"/>
        <v>0</v>
      </c>
      <c r="J253" s="27"/>
      <c r="K253" s="27">
        <f t="shared" si="176"/>
        <v>0</v>
      </c>
      <c r="L253" s="28" t="s">
        <v>11</v>
      </c>
      <c r="N253" s="4"/>
    </row>
    <row r="254" spans="1:14" ht="25.5" x14ac:dyDescent="0.25">
      <c r="A254" s="23" t="str">
        <f>IF(TRIM(E254)&lt;&gt;"",COUNTA($E$10:E254)&amp;"","")</f>
        <v>240</v>
      </c>
      <c r="B254" s="24" t="s">
        <v>104</v>
      </c>
      <c r="C254" s="25" t="s">
        <v>23</v>
      </c>
      <c r="D254" s="26">
        <v>1.1000000000000001</v>
      </c>
      <c r="E254" s="27">
        <f>3*D254</f>
        <v>3.3000000000000003</v>
      </c>
      <c r="F254" s="27">
        <f t="shared" si="174"/>
        <v>0</v>
      </c>
      <c r="G254" s="27"/>
      <c r="H254" s="90"/>
      <c r="I254" s="27">
        <f t="shared" si="175"/>
        <v>0</v>
      </c>
      <c r="J254" s="27"/>
      <c r="K254" s="27">
        <f t="shared" si="176"/>
        <v>0</v>
      </c>
      <c r="L254" s="28" t="s">
        <v>11</v>
      </c>
      <c r="N254" s="4"/>
    </row>
    <row r="255" spans="1:14" ht="25.5" x14ac:dyDescent="0.25">
      <c r="A255" s="23" t="str">
        <f>IF(TRIM(E255)&lt;&gt;"",COUNTA($E$10:E255)&amp;"","")</f>
        <v>241</v>
      </c>
      <c r="B255" s="24" t="s">
        <v>112</v>
      </c>
      <c r="C255" s="25" t="s">
        <v>23</v>
      </c>
      <c r="D255" s="26">
        <v>1.1000000000000001</v>
      </c>
      <c r="E255" s="27">
        <f>18.79*D255</f>
        <v>20.669</v>
      </c>
      <c r="F255" s="27">
        <f t="shared" si="174"/>
        <v>0</v>
      </c>
      <c r="G255" s="27"/>
      <c r="H255" s="90"/>
      <c r="I255" s="27">
        <f t="shared" si="175"/>
        <v>0</v>
      </c>
      <c r="J255" s="27"/>
      <c r="K255" s="27">
        <f t="shared" si="176"/>
        <v>0</v>
      </c>
      <c r="L255" s="28" t="s">
        <v>11</v>
      </c>
      <c r="N255" s="4"/>
    </row>
    <row r="256" spans="1:14" ht="25.5" x14ac:dyDescent="0.25">
      <c r="A256" s="23" t="str">
        <f>IF(TRIM(E256)&lt;&gt;"",COUNTA($E$10:E256)&amp;"","")</f>
        <v>242</v>
      </c>
      <c r="B256" s="24" t="s">
        <v>105</v>
      </c>
      <c r="C256" s="25" t="s">
        <v>0</v>
      </c>
      <c r="D256" s="26">
        <v>1</v>
      </c>
      <c r="E256" s="27">
        <v>10</v>
      </c>
      <c r="F256" s="27">
        <f t="shared" si="174"/>
        <v>0</v>
      </c>
      <c r="G256" s="27"/>
      <c r="H256" s="90"/>
      <c r="I256" s="27">
        <f t="shared" si="175"/>
        <v>0</v>
      </c>
      <c r="J256" s="27"/>
      <c r="K256" s="27">
        <f t="shared" si="176"/>
        <v>0</v>
      </c>
      <c r="L256" s="30" t="s">
        <v>11</v>
      </c>
      <c r="M256" s="6"/>
      <c r="N256" s="4"/>
    </row>
    <row r="257" spans="1:14" ht="25.5" x14ac:dyDescent="0.25">
      <c r="A257" s="23" t="str">
        <f>IF(TRIM(E257)&lt;&gt;"",COUNTA($E$10:E257)&amp;"","")</f>
        <v>243</v>
      </c>
      <c r="B257" s="24" t="s">
        <v>106</v>
      </c>
      <c r="C257" s="25" t="s">
        <v>0</v>
      </c>
      <c r="D257" s="26">
        <v>1</v>
      </c>
      <c r="E257" s="27">
        <v>132</v>
      </c>
      <c r="F257" s="27">
        <f t="shared" si="174"/>
        <v>0</v>
      </c>
      <c r="G257" s="27"/>
      <c r="H257" s="90"/>
      <c r="I257" s="27">
        <f t="shared" si="175"/>
        <v>0</v>
      </c>
      <c r="J257" s="27"/>
      <c r="K257" s="27">
        <f t="shared" si="176"/>
        <v>0</v>
      </c>
      <c r="L257" s="30" t="s">
        <v>11</v>
      </c>
      <c r="M257" s="6"/>
      <c r="N257" s="4"/>
    </row>
    <row r="258" spans="1:14" ht="25.5" x14ac:dyDescent="0.25">
      <c r="A258" s="23" t="str">
        <f>IF(TRIM(E258)&lt;&gt;"",COUNTA($E$10:E258)&amp;"","")</f>
        <v>244</v>
      </c>
      <c r="B258" s="24" t="s">
        <v>109</v>
      </c>
      <c r="C258" s="25" t="s">
        <v>0</v>
      </c>
      <c r="D258" s="26">
        <v>1</v>
      </c>
      <c r="E258" s="27">
        <v>60</v>
      </c>
      <c r="F258" s="27">
        <f t="shared" si="174"/>
        <v>0</v>
      </c>
      <c r="G258" s="27"/>
      <c r="H258" s="90"/>
      <c r="I258" s="27">
        <f t="shared" si="175"/>
        <v>0</v>
      </c>
      <c r="J258" s="27"/>
      <c r="K258" s="27">
        <f t="shared" si="176"/>
        <v>0</v>
      </c>
      <c r="L258" s="30" t="s">
        <v>11</v>
      </c>
      <c r="M258" s="6"/>
      <c r="N258" s="4"/>
    </row>
    <row r="259" spans="1:14" ht="25.5" x14ac:dyDescent="0.25">
      <c r="A259" s="23" t="str">
        <f>IF(TRIM(E259)&lt;&gt;"",COUNTA($E$10:E259)&amp;"","")</f>
        <v>245</v>
      </c>
      <c r="B259" s="24" t="s">
        <v>110</v>
      </c>
      <c r="C259" s="25" t="s">
        <v>0</v>
      </c>
      <c r="D259" s="26">
        <v>1</v>
      </c>
      <c r="E259" s="27">
        <v>6</v>
      </c>
      <c r="F259" s="27">
        <f t="shared" si="174"/>
        <v>0</v>
      </c>
      <c r="G259" s="27"/>
      <c r="H259" s="90"/>
      <c r="I259" s="27">
        <f t="shared" si="175"/>
        <v>0</v>
      </c>
      <c r="J259" s="27"/>
      <c r="K259" s="27">
        <f t="shared" si="176"/>
        <v>0</v>
      </c>
      <c r="L259" s="30" t="s">
        <v>11</v>
      </c>
      <c r="M259" s="6"/>
      <c r="N259" s="4"/>
    </row>
    <row r="260" spans="1:14" ht="25.5" x14ac:dyDescent="0.25">
      <c r="A260" s="23" t="str">
        <f>IF(TRIM(E260)&lt;&gt;"",COUNTA($E$10:E260)&amp;"","")</f>
        <v>246</v>
      </c>
      <c r="B260" s="24" t="s">
        <v>111</v>
      </c>
      <c r="C260" s="25" t="s">
        <v>0</v>
      </c>
      <c r="D260" s="26">
        <v>1</v>
      </c>
      <c r="E260" s="27">
        <v>3</v>
      </c>
      <c r="F260" s="27">
        <f t="shared" si="174"/>
        <v>0</v>
      </c>
      <c r="G260" s="27"/>
      <c r="H260" s="90"/>
      <c r="I260" s="27">
        <f t="shared" si="175"/>
        <v>0</v>
      </c>
      <c r="J260" s="27"/>
      <c r="K260" s="27">
        <f t="shared" si="176"/>
        <v>0</v>
      </c>
      <c r="L260" s="30" t="s">
        <v>11</v>
      </c>
      <c r="M260" s="6"/>
      <c r="N260" s="4"/>
    </row>
    <row r="261" spans="1:14" ht="25.5" x14ac:dyDescent="0.25">
      <c r="A261" s="23" t="str">
        <f>IF(TRIM(E261)&lt;&gt;"",COUNTA($E$10:E261)&amp;"","")</f>
        <v>247</v>
      </c>
      <c r="B261" s="24" t="s">
        <v>21</v>
      </c>
      <c r="C261" s="25" t="s">
        <v>22</v>
      </c>
      <c r="D261" s="34">
        <v>1.0149999999999999</v>
      </c>
      <c r="E261" s="27">
        <f>(E249)*0.48*((0.05+0.093)/2)*D261</f>
        <v>5.0043673680000005</v>
      </c>
      <c r="F261" s="27">
        <f t="shared" si="174"/>
        <v>0</v>
      </c>
      <c r="G261" s="27"/>
      <c r="H261" s="90"/>
      <c r="I261" s="27">
        <f t="shared" si="175"/>
        <v>0</v>
      </c>
      <c r="J261" s="27"/>
      <c r="K261" s="27">
        <f t="shared" si="176"/>
        <v>0</v>
      </c>
      <c r="L261" s="30" t="s">
        <v>11</v>
      </c>
      <c r="N261" s="4"/>
    </row>
    <row r="262" spans="1:14" x14ac:dyDescent="0.25">
      <c r="A262" s="23" t="str">
        <f>IF(TRIM(E262)&lt;&gt;"",COUNTA($E$10:E262)&amp;"","")</f>
        <v>248</v>
      </c>
      <c r="B262" s="18" t="s">
        <v>53</v>
      </c>
      <c r="C262" s="19" t="s">
        <v>23</v>
      </c>
      <c r="D262" s="20"/>
      <c r="E262" s="21">
        <f>1.61</f>
        <v>1.61</v>
      </c>
      <c r="F262" s="21">
        <f>G262+H262</f>
        <v>0</v>
      </c>
      <c r="G262" s="89"/>
      <c r="H262" s="21"/>
      <c r="I262" s="21">
        <f>J262+K262</f>
        <v>0</v>
      </c>
      <c r="J262" s="39">
        <f>ROUND(G262*E262,2)</f>
        <v>0</v>
      </c>
      <c r="K262" s="21"/>
      <c r="L262" s="22"/>
      <c r="N262" s="4"/>
    </row>
    <row r="263" spans="1:14" ht="25.5" x14ac:dyDescent="0.25">
      <c r="A263" s="23" t="str">
        <f>IF(TRIM(E263)&lt;&gt;"",COUNTA($E$10:E263)&amp;"","")</f>
        <v>249</v>
      </c>
      <c r="B263" s="24" t="s">
        <v>25</v>
      </c>
      <c r="C263" s="26" t="s">
        <v>0</v>
      </c>
      <c r="D263" s="26">
        <v>5</v>
      </c>
      <c r="E263" s="41">
        <f>ROUND(E262*D263,0)</f>
        <v>8</v>
      </c>
      <c r="F263" s="27">
        <f t="shared" ref="F263:F264" si="177">G263+H263</f>
        <v>0</v>
      </c>
      <c r="G263" s="27"/>
      <c r="H263" s="90"/>
      <c r="I263" s="27">
        <f t="shared" ref="I263:I264" si="178">J263+K263</f>
        <v>0</v>
      </c>
      <c r="J263" s="27"/>
      <c r="K263" s="27">
        <f t="shared" ref="K263:K264" si="179">ROUND(H263*E263,2)</f>
        <v>0</v>
      </c>
      <c r="L263" s="26" t="s">
        <v>11</v>
      </c>
      <c r="N263" s="4"/>
    </row>
    <row r="264" spans="1:14" ht="25.5" x14ac:dyDescent="0.25">
      <c r="A264" s="23" t="str">
        <f>IF(TRIM(E264)&lt;&gt;"",COUNTA($E$10:E264)&amp;"","")</f>
        <v>250</v>
      </c>
      <c r="B264" s="24" t="s">
        <v>113</v>
      </c>
      <c r="C264" s="25" t="s">
        <v>23</v>
      </c>
      <c r="D264" s="26">
        <v>1.1000000000000001</v>
      </c>
      <c r="E264" s="27">
        <f>E262*D264</f>
        <v>1.7710000000000004</v>
      </c>
      <c r="F264" s="27">
        <f t="shared" si="177"/>
        <v>0</v>
      </c>
      <c r="G264" s="27"/>
      <c r="H264" s="90"/>
      <c r="I264" s="27">
        <f t="shared" si="178"/>
        <v>0</v>
      </c>
      <c r="J264" s="27"/>
      <c r="K264" s="27">
        <f t="shared" si="179"/>
        <v>0</v>
      </c>
      <c r="L264" s="28" t="s">
        <v>11</v>
      </c>
      <c r="N264" s="4"/>
    </row>
    <row r="265" spans="1:14" ht="51" x14ac:dyDescent="0.25">
      <c r="A265" s="23" t="str">
        <f>IF(TRIM(E265)&lt;&gt;"",COUNTA($E$10:E265)&amp;"","")</f>
        <v>251</v>
      </c>
      <c r="B265" s="42" t="s">
        <v>124</v>
      </c>
      <c r="C265" s="19" t="s">
        <v>0</v>
      </c>
      <c r="D265" s="20"/>
      <c r="E265" s="21">
        <f>SUM(E266:E268)</f>
        <v>5</v>
      </c>
      <c r="F265" s="21">
        <f>G265+H265</f>
        <v>0</v>
      </c>
      <c r="G265" s="89"/>
      <c r="H265" s="21"/>
      <c r="I265" s="21">
        <f>J265+K265</f>
        <v>0</v>
      </c>
      <c r="J265" s="39">
        <f>ROUND(G265*E265,2)</f>
        <v>0</v>
      </c>
      <c r="K265" s="21"/>
      <c r="L265" s="22"/>
      <c r="N265" s="4"/>
    </row>
    <row r="266" spans="1:14" ht="25.5" x14ac:dyDescent="0.25">
      <c r="A266" s="23" t="str">
        <f>IF(TRIM(E266)&lt;&gt;"",COUNTA($E$10:E266)&amp;"","")</f>
        <v>252</v>
      </c>
      <c r="B266" s="24" t="s">
        <v>177</v>
      </c>
      <c r="C266" s="25" t="s">
        <v>0</v>
      </c>
      <c r="D266" s="26">
        <v>1</v>
      </c>
      <c r="E266" s="27">
        <v>1</v>
      </c>
      <c r="F266" s="27">
        <f t="shared" ref="F266:F268" si="180">G266+H266</f>
        <v>0</v>
      </c>
      <c r="G266" s="27"/>
      <c r="H266" s="90"/>
      <c r="I266" s="27">
        <f t="shared" ref="I266:I268" si="181">J266+K266</f>
        <v>0</v>
      </c>
      <c r="J266" s="27"/>
      <c r="K266" s="27">
        <f t="shared" ref="K266:K268" si="182">ROUND(H266*E266,2)</f>
        <v>0</v>
      </c>
      <c r="L266" s="28" t="s">
        <v>11</v>
      </c>
      <c r="N266" s="4"/>
    </row>
    <row r="267" spans="1:14" ht="25.5" x14ac:dyDescent="0.25">
      <c r="A267" s="23" t="str">
        <f>IF(TRIM(E267)&lt;&gt;"",COUNTA($E$10:E267)&amp;"","")</f>
        <v>253</v>
      </c>
      <c r="B267" s="24" t="s">
        <v>178</v>
      </c>
      <c r="C267" s="25" t="s">
        <v>0</v>
      </c>
      <c r="D267" s="26">
        <v>1</v>
      </c>
      <c r="E267" s="27">
        <v>3</v>
      </c>
      <c r="F267" s="27">
        <f t="shared" si="180"/>
        <v>0</v>
      </c>
      <c r="G267" s="27"/>
      <c r="H267" s="90"/>
      <c r="I267" s="27">
        <f t="shared" si="181"/>
        <v>0</v>
      </c>
      <c r="J267" s="27"/>
      <c r="K267" s="27">
        <f t="shared" si="182"/>
        <v>0</v>
      </c>
      <c r="L267" s="28" t="s">
        <v>11</v>
      </c>
      <c r="N267" s="4"/>
    </row>
    <row r="268" spans="1:14" ht="25.5" x14ac:dyDescent="0.25">
      <c r="A268" s="23" t="str">
        <f>IF(TRIM(E268)&lt;&gt;"",COUNTA($E$10:E268)&amp;"","")</f>
        <v>254</v>
      </c>
      <c r="B268" s="24" t="s">
        <v>191</v>
      </c>
      <c r="C268" s="25" t="s">
        <v>0</v>
      </c>
      <c r="D268" s="26">
        <v>1</v>
      </c>
      <c r="E268" s="27">
        <v>1</v>
      </c>
      <c r="F268" s="27">
        <f t="shared" si="180"/>
        <v>0</v>
      </c>
      <c r="G268" s="27"/>
      <c r="H268" s="90"/>
      <c r="I268" s="27">
        <f t="shared" si="181"/>
        <v>0</v>
      </c>
      <c r="J268" s="27"/>
      <c r="K268" s="27">
        <f t="shared" si="182"/>
        <v>0</v>
      </c>
      <c r="L268" s="28" t="s">
        <v>11</v>
      </c>
      <c r="N268" s="4"/>
    </row>
    <row r="269" spans="1:14" ht="51" x14ac:dyDescent="0.25">
      <c r="A269" s="23" t="str">
        <f>IF(TRIM(E269)&lt;&gt;"",COUNTA($E$10:E269)&amp;"","")</f>
        <v>255</v>
      </c>
      <c r="B269" s="18" t="s">
        <v>125</v>
      </c>
      <c r="C269" s="19" t="s">
        <v>0</v>
      </c>
      <c r="D269" s="20"/>
      <c r="E269" s="21">
        <f>E270</f>
        <v>1</v>
      </c>
      <c r="F269" s="21">
        <f>G269+H269</f>
        <v>0</v>
      </c>
      <c r="G269" s="89"/>
      <c r="H269" s="21"/>
      <c r="I269" s="21">
        <f>J269+K269</f>
        <v>0</v>
      </c>
      <c r="J269" s="39">
        <f>ROUND(G269*E269,2)</f>
        <v>0</v>
      </c>
      <c r="K269" s="21"/>
      <c r="L269" s="22"/>
      <c r="N269" s="4"/>
    </row>
    <row r="270" spans="1:14" ht="25.5" x14ac:dyDescent="0.25">
      <c r="A270" s="23" t="str">
        <f>IF(TRIM(E270)&lt;&gt;"",COUNTA($E$10:E270)&amp;"","")</f>
        <v>256</v>
      </c>
      <c r="B270" s="24" t="s">
        <v>192</v>
      </c>
      <c r="C270" s="25" t="s">
        <v>0</v>
      </c>
      <c r="D270" s="26">
        <v>1</v>
      </c>
      <c r="E270" s="27">
        <v>1</v>
      </c>
      <c r="F270" s="27">
        <f t="shared" ref="F270" si="183">G270+H270</f>
        <v>0</v>
      </c>
      <c r="G270" s="27"/>
      <c r="H270" s="90"/>
      <c r="I270" s="27">
        <f t="shared" ref="I270" si="184">J270+K270</f>
        <v>0</v>
      </c>
      <c r="J270" s="27"/>
      <c r="K270" s="27">
        <f>ROUND(H270*E270,2)</f>
        <v>0</v>
      </c>
      <c r="L270" s="28" t="s">
        <v>11</v>
      </c>
      <c r="N270" s="4"/>
    </row>
    <row r="271" spans="1:14" ht="51" x14ac:dyDescent="0.25">
      <c r="A271" s="23" t="str">
        <f>IF(TRIM(E271)&lt;&gt;"",COUNTA($E$10:E271)&amp;"","")</f>
        <v>257</v>
      </c>
      <c r="B271" s="18" t="s">
        <v>156</v>
      </c>
      <c r="C271" s="19" t="s">
        <v>0</v>
      </c>
      <c r="D271" s="20"/>
      <c r="E271" s="21">
        <f>E272+E273</f>
        <v>2</v>
      </c>
      <c r="F271" s="21">
        <f>G271+H271</f>
        <v>0</v>
      </c>
      <c r="G271" s="89"/>
      <c r="H271" s="21"/>
      <c r="I271" s="21">
        <f>J271+K271</f>
        <v>0</v>
      </c>
      <c r="J271" s="39">
        <f>ROUND(G271*E271,2)</f>
        <v>0</v>
      </c>
      <c r="K271" s="21"/>
      <c r="L271" s="22"/>
      <c r="N271" s="4"/>
    </row>
    <row r="272" spans="1:14" ht="25.5" x14ac:dyDescent="0.25">
      <c r="A272" s="23" t="str">
        <f>IF(TRIM(E272)&lt;&gt;"",COUNTA($E$10:E272)&amp;"","")</f>
        <v>258</v>
      </c>
      <c r="B272" s="24" t="s">
        <v>193</v>
      </c>
      <c r="C272" s="25" t="s">
        <v>0</v>
      </c>
      <c r="D272" s="26">
        <v>1</v>
      </c>
      <c r="E272" s="27">
        <v>1</v>
      </c>
      <c r="F272" s="27">
        <f t="shared" ref="F272:F273" si="185">G272+H272</f>
        <v>0</v>
      </c>
      <c r="G272" s="27"/>
      <c r="H272" s="90"/>
      <c r="I272" s="27">
        <f t="shared" ref="I272:I273" si="186">J272+K272</f>
        <v>0</v>
      </c>
      <c r="J272" s="27"/>
      <c r="K272" s="27">
        <f t="shared" ref="K272:K273" si="187">ROUND(H272*E272,2)</f>
        <v>0</v>
      </c>
      <c r="L272" s="28" t="s">
        <v>11</v>
      </c>
      <c r="N272" s="4"/>
    </row>
    <row r="273" spans="1:14" ht="25.5" x14ac:dyDescent="0.25">
      <c r="A273" s="23" t="str">
        <f>IF(TRIM(E273)&lt;&gt;"",COUNTA($E$10:E273)&amp;"","")</f>
        <v>259</v>
      </c>
      <c r="B273" s="24" t="s">
        <v>194</v>
      </c>
      <c r="C273" s="25" t="s">
        <v>0</v>
      </c>
      <c r="D273" s="26">
        <v>1</v>
      </c>
      <c r="E273" s="27">
        <v>1</v>
      </c>
      <c r="F273" s="27">
        <f t="shared" si="185"/>
        <v>0</v>
      </c>
      <c r="G273" s="27"/>
      <c r="H273" s="90"/>
      <c r="I273" s="27">
        <f t="shared" si="186"/>
        <v>0</v>
      </c>
      <c r="J273" s="27"/>
      <c r="K273" s="27">
        <f t="shared" si="187"/>
        <v>0</v>
      </c>
      <c r="L273" s="28" t="s">
        <v>11</v>
      </c>
      <c r="N273" s="4"/>
    </row>
    <row r="274" spans="1:14" ht="25.5" x14ac:dyDescent="0.25">
      <c r="A274" s="23" t="str">
        <f>IF(TRIM(E274)&lt;&gt;"",COUNTA($E$10:E274)&amp;"","")</f>
        <v>260</v>
      </c>
      <c r="B274" s="18" t="s">
        <v>157</v>
      </c>
      <c r="C274" s="76" t="s">
        <v>23</v>
      </c>
      <c r="D274" s="20"/>
      <c r="E274" s="21">
        <v>16.28</v>
      </c>
      <c r="F274" s="21">
        <f>G274+H274</f>
        <v>0</v>
      </c>
      <c r="G274" s="89"/>
      <c r="H274" s="21"/>
      <c r="I274" s="21">
        <f>J274+K274</f>
        <v>0</v>
      </c>
      <c r="J274" s="39">
        <f>ROUND(G274*E274,2)</f>
        <v>0</v>
      </c>
      <c r="K274" s="21"/>
      <c r="L274" s="22"/>
      <c r="N274" s="4"/>
    </row>
    <row r="275" spans="1:14" ht="25.5" x14ac:dyDescent="0.25">
      <c r="A275" s="23" t="str">
        <f>IF(TRIM(E275)&lt;&gt;"",COUNTA($E$10:E275)&amp;"","")</f>
        <v>261</v>
      </c>
      <c r="B275" s="24" t="s">
        <v>25</v>
      </c>
      <c r="C275" s="26" t="s">
        <v>0</v>
      </c>
      <c r="D275" s="26">
        <v>5</v>
      </c>
      <c r="E275" s="41">
        <f>ROUND(E274*D275,0)</f>
        <v>81</v>
      </c>
      <c r="F275" s="27">
        <f t="shared" ref="F275:F284" si="188">G275+H275</f>
        <v>0</v>
      </c>
      <c r="G275" s="27"/>
      <c r="H275" s="90"/>
      <c r="I275" s="27">
        <f t="shared" ref="I275:I284" si="189">J275+K275</f>
        <v>0</v>
      </c>
      <c r="J275" s="27"/>
      <c r="K275" s="27">
        <f t="shared" ref="K275:K284" si="190">ROUND(H275*E275,2)</f>
        <v>0</v>
      </c>
      <c r="L275" s="26" t="s">
        <v>11</v>
      </c>
      <c r="N275" s="4"/>
    </row>
    <row r="276" spans="1:14" ht="25.5" x14ac:dyDescent="0.25">
      <c r="A276" s="23" t="str">
        <f>IF(TRIM(E276)&lt;&gt;"",COUNTA($E$10:E276)&amp;"","")</f>
        <v>262</v>
      </c>
      <c r="B276" s="24" t="s">
        <v>159</v>
      </c>
      <c r="C276" s="25" t="s">
        <v>1</v>
      </c>
      <c r="D276" s="26">
        <v>1.1399999999999999</v>
      </c>
      <c r="E276" s="27">
        <f>E274*(0.7+0.2)*D276</f>
        <v>16.703279999999999</v>
      </c>
      <c r="F276" s="27">
        <f t="shared" si="188"/>
        <v>0</v>
      </c>
      <c r="G276" s="27"/>
      <c r="H276" s="90"/>
      <c r="I276" s="27">
        <f t="shared" si="189"/>
        <v>0</v>
      </c>
      <c r="J276" s="27"/>
      <c r="K276" s="27">
        <f t="shared" si="190"/>
        <v>0</v>
      </c>
      <c r="L276" s="30" t="s">
        <v>11</v>
      </c>
      <c r="N276" s="4"/>
    </row>
    <row r="277" spans="1:14" ht="25.5" x14ac:dyDescent="0.25">
      <c r="A277" s="23" t="str">
        <f>IF(TRIM(E277)&lt;&gt;"",COUNTA($E$10:E277)&amp;"","")</f>
        <v>263</v>
      </c>
      <c r="B277" s="24" t="s">
        <v>161</v>
      </c>
      <c r="C277" s="25" t="s">
        <v>1</v>
      </c>
      <c r="D277" s="26">
        <v>1.1399999999999999</v>
      </c>
      <c r="E277" s="27">
        <f>E274*0.7*D277</f>
        <v>12.991439999999999</v>
      </c>
      <c r="F277" s="27">
        <f t="shared" si="188"/>
        <v>0</v>
      </c>
      <c r="G277" s="27"/>
      <c r="H277" s="90"/>
      <c r="I277" s="27">
        <f t="shared" si="189"/>
        <v>0</v>
      </c>
      <c r="J277" s="27"/>
      <c r="K277" s="27">
        <f t="shared" si="190"/>
        <v>0</v>
      </c>
      <c r="L277" s="30" t="s">
        <v>11</v>
      </c>
      <c r="N277" s="4"/>
    </row>
    <row r="278" spans="1:14" ht="25.5" x14ac:dyDescent="0.25">
      <c r="A278" s="23" t="str">
        <f>IF(TRIM(E278)&lt;&gt;"",COUNTA($E$10:E278)&amp;"","")</f>
        <v>264</v>
      </c>
      <c r="B278" s="24" t="s">
        <v>160</v>
      </c>
      <c r="C278" s="25" t="s">
        <v>1</v>
      </c>
      <c r="D278" s="26">
        <v>1.1399999999999999</v>
      </c>
      <c r="E278" s="27">
        <f>E274*1.8*D278</f>
        <v>33.406559999999999</v>
      </c>
      <c r="F278" s="27">
        <f t="shared" si="188"/>
        <v>0</v>
      </c>
      <c r="G278" s="27"/>
      <c r="H278" s="90"/>
      <c r="I278" s="27">
        <f t="shared" si="189"/>
        <v>0</v>
      </c>
      <c r="J278" s="27"/>
      <c r="K278" s="27">
        <f t="shared" si="190"/>
        <v>0</v>
      </c>
      <c r="L278" s="30" t="s">
        <v>11</v>
      </c>
      <c r="N278" s="4"/>
    </row>
    <row r="279" spans="1:14" ht="25.5" x14ac:dyDescent="0.25">
      <c r="A279" s="23" t="str">
        <f>IF(TRIM(E279)&lt;&gt;"",COUNTA($E$10:E279)&amp;"","")</f>
        <v>265</v>
      </c>
      <c r="B279" s="24" t="s">
        <v>162</v>
      </c>
      <c r="C279" s="25" t="s">
        <v>22</v>
      </c>
      <c r="D279" s="26">
        <v>1.03</v>
      </c>
      <c r="E279" s="27">
        <f>E274*(0.6*0.3)*D279</f>
        <v>3.0183120000000003</v>
      </c>
      <c r="F279" s="27">
        <f t="shared" si="188"/>
        <v>0</v>
      </c>
      <c r="G279" s="27"/>
      <c r="H279" s="90"/>
      <c r="I279" s="27">
        <f t="shared" si="189"/>
        <v>0</v>
      </c>
      <c r="J279" s="27"/>
      <c r="K279" s="27">
        <f t="shared" si="190"/>
        <v>0</v>
      </c>
      <c r="L279" s="30" t="s">
        <v>11</v>
      </c>
      <c r="N279" s="4"/>
    </row>
    <row r="280" spans="1:14" ht="25.5" x14ac:dyDescent="0.25">
      <c r="A280" s="23" t="str">
        <f>IF(TRIM(E280)&lt;&gt;"",COUNTA($E$10:E280)&amp;"","")</f>
        <v>266</v>
      </c>
      <c r="B280" s="24" t="s">
        <v>158</v>
      </c>
      <c r="C280" s="25" t="s">
        <v>23</v>
      </c>
      <c r="D280" s="26">
        <v>1.1000000000000001</v>
      </c>
      <c r="E280" s="27">
        <f>16.28*D280</f>
        <v>17.908000000000001</v>
      </c>
      <c r="F280" s="27">
        <f t="shared" si="188"/>
        <v>0</v>
      </c>
      <c r="G280" s="27"/>
      <c r="H280" s="90"/>
      <c r="I280" s="27">
        <f t="shared" si="189"/>
        <v>0</v>
      </c>
      <c r="J280" s="27"/>
      <c r="K280" s="27">
        <f t="shared" si="190"/>
        <v>0</v>
      </c>
      <c r="L280" s="28" t="s">
        <v>11</v>
      </c>
      <c r="N280" s="4"/>
    </row>
    <row r="281" spans="1:14" ht="25.5" x14ac:dyDescent="0.25">
      <c r="A281" s="23" t="str">
        <f>IF(TRIM(E281)&lt;&gt;"",COUNTA($E$10:E281)&amp;"","")</f>
        <v>267</v>
      </c>
      <c r="B281" s="24" t="s">
        <v>153</v>
      </c>
      <c r="C281" s="25" t="s">
        <v>23</v>
      </c>
      <c r="D281" s="26">
        <v>1.1000000000000001</v>
      </c>
      <c r="E281" s="27">
        <f>16.28*D281</f>
        <v>17.908000000000001</v>
      </c>
      <c r="F281" s="27">
        <f t="shared" si="188"/>
        <v>0</v>
      </c>
      <c r="G281" s="27"/>
      <c r="H281" s="90"/>
      <c r="I281" s="27">
        <f t="shared" si="189"/>
        <v>0</v>
      </c>
      <c r="J281" s="27"/>
      <c r="K281" s="27">
        <f t="shared" si="190"/>
        <v>0</v>
      </c>
      <c r="L281" s="28" t="s">
        <v>11</v>
      </c>
      <c r="N281" s="4"/>
    </row>
    <row r="282" spans="1:14" ht="25.5" x14ac:dyDescent="0.25">
      <c r="A282" s="23" t="str">
        <f>IF(TRIM(E282)&lt;&gt;"",COUNTA($E$10:E282)&amp;"","")</f>
        <v>268</v>
      </c>
      <c r="B282" s="24" t="s">
        <v>154</v>
      </c>
      <c r="C282" s="25" t="s">
        <v>0</v>
      </c>
      <c r="D282" s="26">
        <v>1</v>
      </c>
      <c r="E282" s="27">
        <v>26</v>
      </c>
      <c r="F282" s="27">
        <f t="shared" si="188"/>
        <v>0</v>
      </c>
      <c r="G282" s="27"/>
      <c r="H282" s="90"/>
      <c r="I282" s="27">
        <f t="shared" si="189"/>
        <v>0</v>
      </c>
      <c r="J282" s="27"/>
      <c r="K282" s="27">
        <f t="shared" si="190"/>
        <v>0</v>
      </c>
      <c r="L282" s="30" t="s">
        <v>11</v>
      </c>
      <c r="M282" s="6"/>
      <c r="N282" s="4"/>
    </row>
    <row r="283" spans="1:14" ht="25.5" x14ac:dyDescent="0.25">
      <c r="A283" s="23" t="str">
        <f>IF(TRIM(E283)&lt;&gt;"",COUNTA($E$10:E283)&amp;"","")</f>
        <v>269</v>
      </c>
      <c r="B283" s="24" t="s">
        <v>155</v>
      </c>
      <c r="C283" s="25" t="s">
        <v>0</v>
      </c>
      <c r="D283" s="26">
        <v>1</v>
      </c>
      <c r="E283" s="27">
        <v>26</v>
      </c>
      <c r="F283" s="27">
        <f t="shared" si="188"/>
        <v>0</v>
      </c>
      <c r="G283" s="27"/>
      <c r="H283" s="90"/>
      <c r="I283" s="27">
        <f t="shared" si="189"/>
        <v>0</v>
      </c>
      <c r="J283" s="27"/>
      <c r="K283" s="27">
        <f t="shared" si="190"/>
        <v>0</v>
      </c>
      <c r="L283" s="30" t="s">
        <v>11</v>
      </c>
      <c r="M283" s="6"/>
      <c r="N283" s="4"/>
    </row>
    <row r="284" spans="1:14" ht="25.5" x14ac:dyDescent="0.25">
      <c r="A284" s="23" t="str">
        <f>IF(TRIM(E284)&lt;&gt;"",COUNTA($E$10:E284)&amp;"","")</f>
        <v>270</v>
      </c>
      <c r="B284" s="24" t="s">
        <v>21</v>
      </c>
      <c r="C284" s="25" t="s">
        <v>22</v>
      </c>
      <c r="D284" s="34">
        <v>1.0149999999999999</v>
      </c>
      <c r="E284" s="27">
        <f>(E274)*0.05*0.2*D284</f>
        <v>0.165242</v>
      </c>
      <c r="F284" s="27">
        <f t="shared" si="188"/>
        <v>0</v>
      </c>
      <c r="G284" s="27"/>
      <c r="H284" s="90"/>
      <c r="I284" s="27">
        <f t="shared" si="189"/>
        <v>0</v>
      </c>
      <c r="J284" s="27"/>
      <c r="K284" s="27">
        <f t="shared" si="190"/>
        <v>0</v>
      </c>
      <c r="L284" s="30" t="s">
        <v>11</v>
      </c>
      <c r="N284" s="4"/>
    </row>
    <row r="285" spans="1:14" s="5" customFormat="1" x14ac:dyDescent="0.25">
      <c r="A285" s="14" t="str">
        <f>IF(TRIM(E285)&lt;&gt;"",COUNTA($E$10:E285)&amp;"","")</f>
        <v/>
      </c>
      <c r="B285" s="15" t="s">
        <v>126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6"/>
    </row>
    <row r="286" spans="1:14" ht="25.5" x14ac:dyDescent="0.25">
      <c r="A286" s="23" t="str">
        <f>IF(TRIM(E286)&lt;&gt;"",COUNTA($E$10:E286)&amp;"","")</f>
        <v>271</v>
      </c>
      <c r="B286" s="18" t="s">
        <v>127</v>
      </c>
      <c r="C286" s="19" t="s">
        <v>1</v>
      </c>
      <c r="D286" s="20"/>
      <c r="E286" s="21">
        <f>Расчет!E28</f>
        <v>6.9</v>
      </c>
      <c r="F286" s="21">
        <f>G286+H286</f>
        <v>0</v>
      </c>
      <c r="G286" s="89"/>
      <c r="H286" s="21"/>
      <c r="I286" s="21">
        <f>J286+K286</f>
        <v>0</v>
      </c>
      <c r="J286" s="39">
        <f>ROUND(G286*E286,2)</f>
        <v>0</v>
      </c>
      <c r="K286" s="21"/>
      <c r="L286" s="22"/>
      <c r="N286" s="4"/>
    </row>
    <row r="287" spans="1:14" ht="25.5" x14ac:dyDescent="0.25">
      <c r="A287" s="23" t="str">
        <f>IF(TRIM(E287)&lt;&gt;"",COUNTA($E$10:E287)&amp;"","")</f>
        <v>272</v>
      </c>
      <c r="B287" s="24" t="s">
        <v>75</v>
      </c>
      <c r="C287" s="25" t="s">
        <v>20</v>
      </c>
      <c r="D287" s="26">
        <v>0.35</v>
      </c>
      <c r="E287" s="27">
        <f>E286*D287</f>
        <v>2.415</v>
      </c>
      <c r="F287" s="27">
        <f t="shared" ref="F287" si="191">G287+H287</f>
        <v>0</v>
      </c>
      <c r="G287" s="27"/>
      <c r="H287" s="90"/>
      <c r="I287" s="27">
        <f t="shared" ref="I287" si="192">J287+K287</f>
        <v>0</v>
      </c>
      <c r="J287" s="27"/>
      <c r="K287" s="27">
        <f>ROUND(H287*E287,2)</f>
        <v>0</v>
      </c>
      <c r="L287" s="28" t="s">
        <v>11</v>
      </c>
      <c r="N287" s="4"/>
    </row>
    <row r="288" spans="1:14" x14ac:dyDescent="0.25">
      <c r="A288" s="23" t="str">
        <f>IF(TRIM(E288)&lt;&gt;"",COUNTA($E$10:E288)&amp;"","")</f>
        <v>273</v>
      </c>
      <c r="B288" s="18" t="s">
        <v>128</v>
      </c>
      <c r="C288" s="19" t="s">
        <v>1</v>
      </c>
      <c r="D288" s="20"/>
      <c r="E288" s="21">
        <f>E286</f>
        <v>6.9</v>
      </c>
      <c r="F288" s="21">
        <f>G288+H288</f>
        <v>0</v>
      </c>
      <c r="G288" s="89"/>
      <c r="H288" s="21"/>
      <c r="I288" s="21">
        <f>J288+K288</f>
        <v>0</v>
      </c>
      <c r="J288" s="39">
        <f>ROUND(G288*E288,2)</f>
        <v>0</v>
      </c>
      <c r="K288" s="21"/>
      <c r="L288" s="22"/>
      <c r="N288" s="4"/>
    </row>
    <row r="289" spans="1:14" ht="25.5" x14ac:dyDescent="0.25">
      <c r="A289" s="23" t="str">
        <f>IF(TRIM(E289)&lt;&gt;"",COUNTA($E$10:E289)&amp;"","")</f>
        <v>274</v>
      </c>
      <c r="B289" s="29" t="s">
        <v>76</v>
      </c>
      <c r="C289" s="25" t="s">
        <v>1</v>
      </c>
      <c r="D289" s="26">
        <v>1.1499999999999999</v>
      </c>
      <c r="E289" s="27">
        <f>E288*D289</f>
        <v>7.9349999999999996</v>
      </c>
      <c r="F289" s="27">
        <f t="shared" ref="F289:F290" si="193">G289+H289</f>
        <v>0</v>
      </c>
      <c r="G289" s="27"/>
      <c r="H289" s="90"/>
      <c r="I289" s="27">
        <f t="shared" ref="I289:I290" si="194">J289+K289</f>
        <v>0</v>
      </c>
      <c r="J289" s="27"/>
      <c r="K289" s="27">
        <f t="shared" ref="K289:K290" si="195">ROUND(H289*E289,2)</f>
        <v>0</v>
      </c>
      <c r="L289" s="30" t="s">
        <v>11</v>
      </c>
      <c r="N289" s="4"/>
    </row>
    <row r="290" spans="1:14" ht="25.5" x14ac:dyDescent="0.25">
      <c r="A290" s="23" t="str">
        <f>IF(TRIM(E290)&lt;&gt;"",COUNTA($E$10:E290)&amp;"","")</f>
        <v>275</v>
      </c>
      <c r="B290" s="31" t="s">
        <v>117</v>
      </c>
      <c r="C290" s="32" t="s">
        <v>3</v>
      </c>
      <c r="D290" s="33">
        <v>0.3</v>
      </c>
      <c r="E290" s="27">
        <f>E288*D290</f>
        <v>2.0699999999999998</v>
      </c>
      <c r="F290" s="27">
        <f t="shared" si="193"/>
        <v>0</v>
      </c>
      <c r="G290" s="27"/>
      <c r="H290" s="90"/>
      <c r="I290" s="27">
        <f t="shared" si="194"/>
        <v>0</v>
      </c>
      <c r="J290" s="27"/>
      <c r="K290" s="27">
        <f t="shared" si="195"/>
        <v>0</v>
      </c>
      <c r="L290" s="30" t="s">
        <v>11</v>
      </c>
      <c r="N290" s="4"/>
    </row>
    <row r="291" spans="1:14" x14ac:dyDescent="0.25">
      <c r="A291" s="23" t="str">
        <f>IF(TRIM(E291)&lt;&gt;"",COUNTA($E$10:E291)&amp;"","")</f>
        <v>276</v>
      </c>
      <c r="B291" s="18" t="s">
        <v>81</v>
      </c>
      <c r="C291" s="19" t="s">
        <v>1</v>
      </c>
      <c r="D291" s="20"/>
      <c r="E291" s="21">
        <f>E286</f>
        <v>6.9</v>
      </c>
      <c r="F291" s="21">
        <f>G291+H291</f>
        <v>0</v>
      </c>
      <c r="G291" s="89"/>
      <c r="H291" s="21"/>
      <c r="I291" s="21">
        <f>J291+K291</f>
        <v>0</v>
      </c>
      <c r="J291" s="39">
        <f>ROUND(G291*E291,2)</f>
        <v>0</v>
      </c>
      <c r="K291" s="21"/>
      <c r="L291" s="22"/>
      <c r="N291" s="4"/>
    </row>
    <row r="292" spans="1:14" ht="25.5" x14ac:dyDescent="0.25">
      <c r="A292" s="23" t="str">
        <f>IF(TRIM(E292)&lt;&gt;"",COUNTA($E$10:E292)&amp;"","")</f>
        <v>277</v>
      </c>
      <c r="B292" s="29" t="s">
        <v>82</v>
      </c>
      <c r="C292" s="25" t="s">
        <v>22</v>
      </c>
      <c r="D292" s="26">
        <v>1.1000000000000001</v>
      </c>
      <c r="E292" s="27">
        <f>E291*0.03*D292</f>
        <v>0.22770000000000001</v>
      </c>
      <c r="F292" s="27">
        <f t="shared" ref="F292" si="196">G292+H292</f>
        <v>0</v>
      </c>
      <c r="G292" s="27"/>
      <c r="H292" s="90"/>
      <c r="I292" s="27">
        <f t="shared" ref="I292" si="197">J292+K292</f>
        <v>0</v>
      </c>
      <c r="J292" s="27"/>
      <c r="K292" s="27">
        <f>ROUND(H292*E292,2)</f>
        <v>0</v>
      </c>
      <c r="L292" s="30" t="s">
        <v>11</v>
      </c>
      <c r="N292" s="4"/>
    </row>
    <row r="293" spans="1:14" x14ac:dyDescent="0.25">
      <c r="A293" s="23" t="str">
        <f>IF(TRIM(E293)&lt;&gt;"",COUNTA($E$10:E293)&amp;"","")</f>
        <v>278</v>
      </c>
      <c r="B293" s="18" t="s">
        <v>51</v>
      </c>
      <c r="C293" s="19" t="s">
        <v>1</v>
      </c>
      <c r="D293" s="20"/>
      <c r="E293" s="21">
        <f>E291</f>
        <v>6.9</v>
      </c>
      <c r="F293" s="21">
        <f>G293+H293</f>
        <v>0</v>
      </c>
      <c r="G293" s="89"/>
      <c r="H293" s="21"/>
      <c r="I293" s="21">
        <f>J293+K293</f>
        <v>0</v>
      </c>
      <c r="J293" s="39">
        <f>ROUND(G293*E293,2)</f>
        <v>0</v>
      </c>
      <c r="K293" s="21"/>
      <c r="L293" s="22"/>
      <c r="N293" s="4"/>
    </row>
    <row r="294" spans="1:14" ht="25.5" x14ac:dyDescent="0.25">
      <c r="A294" s="23" t="str">
        <f>IF(TRIM(E294)&lt;&gt;"",COUNTA($E$10:E294)&amp;"","")</f>
        <v>279</v>
      </c>
      <c r="B294" s="29" t="s">
        <v>73</v>
      </c>
      <c r="C294" s="25" t="s">
        <v>1</v>
      </c>
      <c r="D294" s="26">
        <v>1.1499999999999999</v>
      </c>
      <c r="E294" s="27">
        <f>E293*D294</f>
        <v>7.9349999999999996</v>
      </c>
      <c r="F294" s="27">
        <f t="shared" ref="F294" si="198">G294+H294</f>
        <v>0</v>
      </c>
      <c r="G294" s="27"/>
      <c r="H294" s="90"/>
      <c r="I294" s="27">
        <f t="shared" ref="I294" si="199">J294+K294</f>
        <v>0</v>
      </c>
      <c r="J294" s="27"/>
      <c r="K294" s="27">
        <f>ROUND(H294*E294,2)</f>
        <v>0</v>
      </c>
      <c r="L294" s="30" t="s">
        <v>11</v>
      </c>
      <c r="N294" s="4"/>
    </row>
    <row r="295" spans="1:14" ht="38.25" x14ac:dyDescent="0.25">
      <c r="A295" s="23" t="str">
        <f>IF(TRIM(E295)&lt;&gt;"",COUNTA($E$10:E295)&amp;"","")</f>
        <v>280</v>
      </c>
      <c r="B295" s="18" t="s">
        <v>83</v>
      </c>
      <c r="C295" s="19" t="s">
        <v>1</v>
      </c>
      <c r="D295" s="20"/>
      <c r="E295" s="21">
        <f>E286</f>
        <v>6.9</v>
      </c>
      <c r="F295" s="21">
        <f>G295+H295</f>
        <v>0</v>
      </c>
      <c r="G295" s="89"/>
      <c r="H295" s="21"/>
      <c r="I295" s="21">
        <f>J295+K295</f>
        <v>0</v>
      </c>
      <c r="J295" s="39">
        <f>ROUND(G295*E295,2)</f>
        <v>0</v>
      </c>
      <c r="K295" s="21"/>
      <c r="L295" s="22"/>
      <c r="M295" s="5"/>
      <c r="N295" s="4"/>
    </row>
    <row r="296" spans="1:14" ht="25.5" x14ac:dyDescent="0.25">
      <c r="A296" s="23" t="str">
        <f>IF(TRIM(E296)&lt;&gt;"",COUNTA($E$10:E296)&amp;"","")</f>
        <v>281</v>
      </c>
      <c r="B296" s="24" t="s">
        <v>21</v>
      </c>
      <c r="C296" s="25" t="s">
        <v>22</v>
      </c>
      <c r="D296" s="34">
        <v>1.0149999999999999</v>
      </c>
      <c r="E296" s="27">
        <f>Расчет!K31*D296</f>
        <v>0.35017500000000001</v>
      </c>
      <c r="F296" s="27">
        <f t="shared" ref="F296:F297" si="200">G296+H296</f>
        <v>0</v>
      </c>
      <c r="G296" s="27"/>
      <c r="H296" s="90"/>
      <c r="I296" s="27">
        <f t="shared" ref="I296:I297" si="201">J296+K296</f>
        <v>0</v>
      </c>
      <c r="J296" s="27"/>
      <c r="K296" s="27">
        <f t="shared" ref="K296:K297" si="202">ROUND(H296*E296,2)</f>
        <v>0</v>
      </c>
      <c r="L296" s="30" t="s">
        <v>11</v>
      </c>
      <c r="N296" s="4"/>
    </row>
    <row r="297" spans="1:14" ht="25.5" x14ac:dyDescent="0.25">
      <c r="A297" s="23" t="str">
        <f>IF(TRIM(E297)&lt;&gt;"",COUNTA($E$10:E297)&amp;"","")</f>
        <v>282</v>
      </c>
      <c r="B297" s="24" t="s">
        <v>74</v>
      </c>
      <c r="C297" s="25" t="s">
        <v>1</v>
      </c>
      <c r="D297" s="26">
        <v>1.2</v>
      </c>
      <c r="E297" s="27">
        <f>E295*D297</f>
        <v>8.2799999999999994</v>
      </c>
      <c r="F297" s="27">
        <f t="shared" si="200"/>
        <v>0</v>
      </c>
      <c r="G297" s="27"/>
      <c r="H297" s="90"/>
      <c r="I297" s="27">
        <f t="shared" si="201"/>
        <v>0</v>
      </c>
      <c r="J297" s="27"/>
      <c r="K297" s="27">
        <f t="shared" si="202"/>
        <v>0</v>
      </c>
      <c r="L297" s="28" t="s">
        <v>11</v>
      </c>
      <c r="N297" s="4"/>
    </row>
    <row r="298" spans="1:14" ht="25.5" x14ac:dyDescent="0.25">
      <c r="A298" s="23" t="str">
        <f>IF(TRIM(E298)&lt;&gt;"",COUNTA($E$10:E298)&amp;"","")</f>
        <v>283</v>
      </c>
      <c r="B298" s="18" t="s">
        <v>127</v>
      </c>
      <c r="C298" s="19" t="s">
        <v>1</v>
      </c>
      <c r="D298" s="20"/>
      <c r="E298" s="21">
        <f>E286</f>
        <v>6.9</v>
      </c>
      <c r="F298" s="21">
        <f>G298+H298</f>
        <v>0</v>
      </c>
      <c r="G298" s="89"/>
      <c r="H298" s="21"/>
      <c r="I298" s="21">
        <f>J298+K298</f>
        <v>0</v>
      </c>
      <c r="J298" s="39">
        <f>ROUND(G298*E298,2)</f>
        <v>0</v>
      </c>
      <c r="K298" s="21"/>
      <c r="L298" s="22"/>
      <c r="N298" s="4"/>
    </row>
    <row r="299" spans="1:14" ht="25.5" x14ac:dyDescent="0.25">
      <c r="A299" s="23" t="str">
        <f>IF(TRIM(E299)&lt;&gt;"",COUNTA($E$10:E299)&amp;"","")</f>
        <v>284</v>
      </c>
      <c r="B299" s="24" t="s">
        <v>75</v>
      </c>
      <c r="C299" s="25" t="s">
        <v>20</v>
      </c>
      <c r="D299" s="26">
        <v>0.35</v>
      </c>
      <c r="E299" s="27">
        <f>E298*D299</f>
        <v>2.415</v>
      </c>
      <c r="F299" s="27">
        <f t="shared" ref="F299" si="203">G299+H299</f>
        <v>0</v>
      </c>
      <c r="G299" s="27"/>
      <c r="H299" s="90"/>
      <c r="I299" s="27">
        <f t="shared" ref="I299" si="204">J299+K299</f>
        <v>0</v>
      </c>
      <c r="J299" s="27"/>
      <c r="K299" s="27">
        <f>ROUND(H299*E299,2)</f>
        <v>0</v>
      </c>
      <c r="L299" s="28" t="s">
        <v>11</v>
      </c>
      <c r="N299" s="4"/>
    </row>
    <row r="300" spans="1:14" x14ac:dyDescent="0.25">
      <c r="A300" s="23" t="str">
        <f>IF(TRIM(E300)&lt;&gt;"",COUNTA($E$10:E300)&amp;"","")</f>
        <v>285</v>
      </c>
      <c r="B300" s="18" t="s">
        <v>84</v>
      </c>
      <c r="C300" s="19" t="s">
        <v>1</v>
      </c>
      <c r="D300" s="20"/>
      <c r="E300" s="21">
        <f>E286</f>
        <v>6.9</v>
      </c>
      <c r="F300" s="21">
        <f>G300+H300</f>
        <v>0</v>
      </c>
      <c r="G300" s="89"/>
      <c r="H300" s="21"/>
      <c r="I300" s="21">
        <f>J300+K300</f>
        <v>0</v>
      </c>
      <c r="J300" s="39">
        <f>ROUND(G300*E300,2)</f>
        <v>0</v>
      </c>
      <c r="K300" s="21"/>
      <c r="L300" s="22"/>
      <c r="N300" s="4"/>
    </row>
    <row r="301" spans="1:14" ht="25.5" x14ac:dyDescent="0.25">
      <c r="A301" s="23" t="str">
        <f>IF(TRIM(E301)&lt;&gt;"",COUNTA($E$10:E301)&amp;"","")</f>
        <v>286</v>
      </c>
      <c r="B301" s="24" t="s">
        <v>85</v>
      </c>
      <c r="C301" s="25" t="s">
        <v>20</v>
      </c>
      <c r="D301" s="26">
        <f>0.35*2</f>
        <v>0.7</v>
      </c>
      <c r="E301" s="27">
        <f>E300*D301</f>
        <v>4.83</v>
      </c>
      <c r="F301" s="27">
        <f t="shared" ref="F301" si="205">G301+H301</f>
        <v>0</v>
      </c>
      <c r="G301" s="27"/>
      <c r="H301" s="90"/>
      <c r="I301" s="27">
        <f t="shared" ref="I301" si="206">J301+K301</f>
        <v>0</v>
      </c>
      <c r="J301" s="27"/>
      <c r="K301" s="27">
        <f>ROUND(H301*E301,2)</f>
        <v>0</v>
      </c>
      <c r="L301" s="28" t="s">
        <v>11</v>
      </c>
      <c r="N301" s="4"/>
    </row>
    <row r="302" spans="1:14" ht="25.5" x14ac:dyDescent="0.25">
      <c r="A302" s="23" t="str">
        <f>IF(TRIM(E302)&lt;&gt;"",COUNTA($E$10:E302)&amp;"","")</f>
        <v>287</v>
      </c>
      <c r="B302" s="48" t="s">
        <v>129</v>
      </c>
      <c r="C302" s="49" t="s">
        <v>1</v>
      </c>
      <c r="D302" s="50"/>
      <c r="E302" s="21">
        <f>E286</f>
        <v>6.9</v>
      </c>
      <c r="F302" s="21">
        <f>G302+H302</f>
        <v>0</v>
      </c>
      <c r="G302" s="89"/>
      <c r="H302" s="21"/>
      <c r="I302" s="21">
        <f>J302+K302</f>
        <v>0</v>
      </c>
      <c r="J302" s="39">
        <f>ROUND(G302*E302,2)</f>
        <v>0</v>
      </c>
      <c r="K302" s="21"/>
      <c r="L302" s="51"/>
      <c r="N302" s="4"/>
    </row>
    <row r="303" spans="1:14" ht="25.5" x14ac:dyDescent="0.25">
      <c r="A303" s="23" t="str">
        <f>IF(TRIM(E303)&lt;&gt;"",COUNTA($E$10:E303)&amp;"","")</f>
        <v>288</v>
      </c>
      <c r="B303" s="52" t="s">
        <v>86</v>
      </c>
      <c r="C303" s="36" t="s">
        <v>1</v>
      </c>
      <c r="D303" s="53">
        <v>1.03</v>
      </c>
      <c r="E303" s="27">
        <f>E302*D303</f>
        <v>7.1070000000000002</v>
      </c>
      <c r="F303" s="27">
        <f t="shared" ref="F303" si="207">G303+H303</f>
        <v>0</v>
      </c>
      <c r="G303" s="27"/>
      <c r="H303" s="90"/>
      <c r="I303" s="27">
        <f t="shared" ref="I303" si="208">J303+K303</f>
        <v>0</v>
      </c>
      <c r="J303" s="27"/>
      <c r="K303" s="27">
        <f>ROUND(H303*E303,2)</f>
        <v>0</v>
      </c>
      <c r="L303" s="30" t="s">
        <v>11</v>
      </c>
      <c r="N303" s="4"/>
    </row>
    <row r="304" spans="1:14" ht="25.5" x14ac:dyDescent="0.25">
      <c r="A304" s="23" t="str">
        <f>IF(TRIM(E304)&lt;&gt;"",COUNTA($E$10:E304)&amp;"","")</f>
        <v>289</v>
      </c>
      <c r="B304" s="18" t="s">
        <v>130</v>
      </c>
      <c r="C304" s="19" t="s">
        <v>1</v>
      </c>
      <c r="D304" s="20"/>
      <c r="E304" s="21">
        <f>E286</f>
        <v>6.9</v>
      </c>
      <c r="F304" s="21">
        <f>G304+H304</f>
        <v>0</v>
      </c>
      <c r="G304" s="89"/>
      <c r="H304" s="21"/>
      <c r="I304" s="21">
        <f>J304+K304</f>
        <v>0</v>
      </c>
      <c r="J304" s="39">
        <f>ROUND(G304*E304,2)</f>
        <v>0</v>
      </c>
      <c r="K304" s="21"/>
      <c r="L304" s="22"/>
      <c r="M304" s="5"/>
      <c r="N304" s="4"/>
    </row>
    <row r="305" spans="1:14" ht="25.5" x14ac:dyDescent="0.25">
      <c r="A305" s="23" t="str">
        <f>IF(TRIM(E305)&lt;&gt;"",COUNTA($E$10:E305)&amp;"","")</f>
        <v>290</v>
      </c>
      <c r="B305" s="24" t="s">
        <v>87</v>
      </c>
      <c r="C305" s="25" t="s">
        <v>1</v>
      </c>
      <c r="D305" s="26">
        <v>1.02</v>
      </c>
      <c r="E305" s="27">
        <f>E304*D305</f>
        <v>7.0380000000000003</v>
      </c>
      <c r="F305" s="27">
        <f t="shared" ref="F305" si="209">G305+H305</f>
        <v>0</v>
      </c>
      <c r="G305" s="27"/>
      <c r="H305" s="90"/>
      <c r="I305" s="27">
        <f t="shared" ref="I305" si="210">J305+K305</f>
        <v>0</v>
      </c>
      <c r="J305" s="27"/>
      <c r="K305" s="27">
        <f>ROUND(H305*E305,2)</f>
        <v>0</v>
      </c>
      <c r="L305" s="30" t="s">
        <v>11</v>
      </c>
      <c r="N305" s="4"/>
    </row>
    <row r="306" spans="1:14" s="5" customFormat="1" x14ac:dyDescent="0.25">
      <c r="A306" s="11"/>
      <c r="B306" s="12" t="s">
        <v>163</v>
      </c>
      <c r="C306" s="12"/>
      <c r="D306" s="13"/>
      <c r="E306" s="13"/>
      <c r="F306" s="13"/>
      <c r="G306" s="13"/>
      <c r="H306" s="13"/>
      <c r="I306" s="13"/>
      <c r="J306" s="13"/>
      <c r="K306" s="13"/>
      <c r="L306" s="13"/>
    </row>
    <row r="307" spans="1:14" s="5" customFormat="1" x14ac:dyDescent="0.25">
      <c r="A307" s="14"/>
      <c r="B307" s="15" t="s">
        <v>115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6"/>
    </row>
    <row r="308" spans="1:14" ht="25.5" x14ac:dyDescent="0.25">
      <c r="A308" s="1" t="str">
        <f>IF(TRIM(E308)&lt;&gt;"",COUNTA($E$10:E308)&amp;"","")</f>
        <v>291</v>
      </c>
      <c r="B308" s="18" t="s">
        <v>50</v>
      </c>
      <c r="C308" s="19" t="s">
        <v>1</v>
      </c>
      <c r="D308" s="20"/>
      <c r="E308" s="21">
        <f>Расчет!E36+Расчет!E37+E326*0.35</f>
        <v>517.58500000000004</v>
      </c>
      <c r="F308" s="21">
        <f>G308+H308</f>
        <v>0</v>
      </c>
      <c r="G308" s="89"/>
      <c r="H308" s="21"/>
      <c r="I308" s="21">
        <f>J308+K308</f>
        <v>0</v>
      </c>
      <c r="J308" s="39">
        <f>ROUND(G308*E308,2)</f>
        <v>0</v>
      </c>
      <c r="K308" s="21"/>
      <c r="L308" s="22"/>
      <c r="N308" s="4"/>
    </row>
    <row r="309" spans="1:14" ht="25.5" x14ac:dyDescent="0.25">
      <c r="A309" s="23" t="str">
        <f>IF(TRIM(E309)&lt;&gt;"",COUNTA($E$10:E309)&amp;"","")</f>
        <v>292</v>
      </c>
      <c r="B309" s="24" t="s">
        <v>75</v>
      </c>
      <c r="C309" s="25" t="s">
        <v>20</v>
      </c>
      <c r="D309" s="26">
        <v>0.35</v>
      </c>
      <c r="E309" s="27">
        <f>E308*D309</f>
        <v>181.15475000000001</v>
      </c>
      <c r="F309" s="27">
        <f t="shared" ref="F309" si="211">G309+H309</f>
        <v>0</v>
      </c>
      <c r="G309" s="27"/>
      <c r="H309" s="90"/>
      <c r="I309" s="27">
        <f t="shared" ref="I309" si="212">J309+K309</f>
        <v>0</v>
      </c>
      <c r="J309" s="27"/>
      <c r="K309" s="27">
        <f>ROUND(H309*E309,2)</f>
        <v>0</v>
      </c>
      <c r="L309" s="28" t="s">
        <v>11</v>
      </c>
      <c r="N309" s="4"/>
    </row>
    <row r="310" spans="1:14" ht="25.5" x14ac:dyDescent="0.25">
      <c r="A310" s="23" t="str">
        <f>IF(TRIM(E310)&lt;&gt;"",COUNTA($E$10:E310)&amp;"","")</f>
        <v>293</v>
      </c>
      <c r="B310" s="18" t="s">
        <v>116</v>
      </c>
      <c r="C310" s="19" t="s">
        <v>1</v>
      </c>
      <c r="D310" s="20"/>
      <c r="E310" s="21">
        <f>E308</f>
        <v>517.58500000000004</v>
      </c>
      <c r="F310" s="21">
        <f>G310+H310</f>
        <v>0</v>
      </c>
      <c r="G310" s="89"/>
      <c r="H310" s="21"/>
      <c r="I310" s="21">
        <f>J310+K310</f>
        <v>0</v>
      </c>
      <c r="J310" s="39">
        <f>ROUND(G310*E310,2)</f>
        <v>0</v>
      </c>
      <c r="K310" s="21"/>
      <c r="L310" s="22"/>
      <c r="N310" s="4"/>
    </row>
    <row r="311" spans="1:14" ht="25.5" x14ac:dyDescent="0.25">
      <c r="A311" s="23" t="str">
        <f>IF(TRIM(E311)&lt;&gt;"",COUNTA($E$10:E311)&amp;"","")</f>
        <v>294</v>
      </c>
      <c r="B311" s="29" t="s">
        <v>76</v>
      </c>
      <c r="C311" s="25" t="s">
        <v>1</v>
      </c>
      <c r="D311" s="26">
        <v>1.1499999999999999</v>
      </c>
      <c r="E311" s="27">
        <f>E310*D311</f>
        <v>595.22275000000002</v>
      </c>
      <c r="F311" s="27">
        <f t="shared" ref="F311:F312" si="213">G311+H311</f>
        <v>0</v>
      </c>
      <c r="G311" s="27"/>
      <c r="H311" s="90"/>
      <c r="I311" s="27">
        <f t="shared" ref="I311:I312" si="214">J311+K311</f>
        <v>0</v>
      </c>
      <c r="J311" s="27"/>
      <c r="K311" s="27">
        <f t="shared" ref="K311:K312" si="215">ROUND(H311*E311,2)</f>
        <v>0</v>
      </c>
      <c r="L311" s="30" t="s">
        <v>11</v>
      </c>
      <c r="N311" s="4"/>
    </row>
    <row r="312" spans="1:14" ht="25.5" x14ac:dyDescent="0.25">
      <c r="A312" s="23" t="str">
        <f>IF(TRIM(E312)&lt;&gt;"",COUNTA($E$10:E312)&amp;"","")</f>
        <v>295</v>
      </c>
      <c r="B312" s="31" t="s">
        <v>117</v>
      </c>
      <c r="C312" s="32" t="s">
        <v>3</v>
      </c>
      <c r="D312" s="33">
        <v>0.3</v>
      </c>
      <c r="E312" s="27">
        <f>E310*D312</f>
        <v>155.27549999999999</v>
      </c>
      <c r="F312" s="27">
        <f t="shared" si="213"/>
        <v>0</v>
      </c>
      <c r="G312" s="27"/>
      <c r="H312" s="90"/>
      <c r="I312" s="27">
        <f t="shared" si="214"/>
        <v>0</v>
      </c>
      <c r="J312" s="27"/>
      <c r="K312" s="27">
        <f t="shared" si="215"/>
        <v>0</v>
      </c>
      <c r="L312" s="30" t="s">
        <v>11</v>
      </c>
      <c r="N312" s="4"/>
    </row>
    <row r="313" spans="1:14" x14ac:dyDescent="0.25">
      <c r="A313" s="23" t="str">
        <f>IF(TRIM(E313)&lt;&gt;"",COUNTA($E$10:E313)&amp;"","")</f>
        <v>296</v>
      </c>
      <c r="B313" s="18" t="s">
        <v>47</v>
      </c>
      <c r="C313" s="19" t="s">
        <v>1</v>
      </c>
      <c r="D313" s="20"/>
      <c r="E313" s="21">
        <f>Расчет!E36+Расчет!E37</f>
        <v>448.81</v>
      </c>
      <c r="F313" s="21">
        <f>G313+H313</f>
        <v>0</v>
      </c>
      <c r="G313" s="89"/>
      <c r="H313" s="21"/>
      <c r="I313" s="21">
        <f>J313+K313</f>
        <v>0</v>
      </c>
      <c r="J313" s="39">
        <f>ROUND(G313*E313,2)</f>
        <v>0</v>
      </c>
      <c r="K313" s="21"/>
      <c r="L313" s="22"/>
      <c r="N313" s="4"/>
    </row>
    <row r="314" spans="1:14" ht="25.5" x14ac:dyDescent="0.25">
      <c r="A314" s="23" t="str">
        <f>IF(TRIM(E314)&lt;&gt;"",COUNTA($E$10:E314)&amp;"","")</f>
        <v>297</v>
      </c>
      <c r="B314" s="29" t="s">
        <v>72</v>
      </c>
      <c r="C314" s="25" t="s">
        <v>22</v>
      </c>
      <c r="D314" s="26">
        <v>1.1000000000000001</v>
      </c>
      <c r="E314" s="27">
        <f>E313*0.1*D314</f>
        <v>49.369100000000003</v>
      </c>
      <c r="F314" s="27">
        <f t="shared" ref="F314" si="216">G314+H314</f>
        <v>0</v>
      </c>
      <c r="G314" s="27"/>
      <c r="H314" s="90"/>
      <c r="I314" s="27">
        <f t="shared" ref="I314" si="217">J314+K314</f>
        <v>0</v>
      </c>
      <c r="J314" s="27"/>
      <c r="K314" s="27">
        <f>ROUND(H314*E314,2)</f>
        <v>0</v>
      </c>
      <c r="L314" s="30" t="s">
        <v>11</v>
      </c>
      <c r="N314" s="4"/>
    </row>
    <row r="315" spans="1:14" x14ac:dyDescent="0.25">
      <c r="A315" s="23" t="str">
        <f>IF(TRIM(E315)&lt;&gt;"",COUNTA($E$10:E315)&amp;"","")</f>
        <v>298</v>
      </c>
      <c r="B315" s="18" t="s">
        <v>88</v>
      </c>
      <c r="C315" s="19" t="s">
        <v>1</v>
      </c>
      <c r="D315" s="20"/>
      <c r="E315" s="21">
        <f>E326*0.47</f>
        <v>92.35499999999999</v>
      </c>
      <c r="F315" s="21">
        <f>G315+H315</f>
        <v>0</v>
      </c>
      <c r="G315" s="89"/>
      <c r="H315" s="21"/>
      <c r="I315" s="21">
        <f>J315+K315</f>
        <v>0</v>
      </c>
      <c r="J315" s="39">
        <f>ROUND(G315*E315,2)</f>
        <v>0</v>
      </c>
      <c r="K315" s="21"/>
      <c r="L315" s="22"/>
      <c r="N315" s="4"/>
    </row>
    <row r="316" spans="1:14" ht="25.5" x14ac:dyDescent="0.25">
      <c r="A316" s="23" t="str">
        <f>IF(TRIM(E316)&lt;&gt;"",COUNTA($E$10:E316)&amp;"","")</f>
        <v>299</v>
      </c>
      <c r="B316" s="29" t="s">
        <v>89</v>
      </c>
      <c r="C316" s="25" t="s">
        <v>22</v>
      </c>
      <c r="D316" s="26">
        <v>1.03</v>
      </c>
      <c r="E316" s="27">
        <f>E315*0.05*D316</f>
        <v>4.7562825000000002</v>
      </c>
      <c r="F316" s="27">
        <f t="shared" ref="F316:F317" si="218">G316+H316</f>
        <v>0</v>
      </c>
      <c r="G316" s="27"/>
      <c r="H316" s="90"/>
      <c r="I316" s="27">
        <f t="shared" ref="I316:I317" si="219">J316+K316</f>
        <v>0</v>
      </c>
      <c r="J316" s="27"/>
      <c r="K316" s="27">
        <f t="shared" ref="K316:K317" si="220">ROUND(H316*E316,2)</f>
        <v>0</v>
      </c>
      <c r="L316" s="30" t="s">
        <v>11</v>
      </c>
      <c r="N316" s="4"/>
    </row>
    <row r="317" spans="1:14" ht="25.5" x14ac:dyDescent="0.25">
      <c r="A317" s="23" t="str">
        <f>IF(TRIM(E317)&lt;&gt;"",COUNTA($E$10:E317)&amp;"","")</f>
        <v>300</v>
      </c>
      <c r="B317" s="29" t="s">
        <v>90</v>
      </c>
      <c r="C317" s="25" t="s">
        <v>0</v>
      </c>
      <c r="D317" s="26">
        <v>5</v>
      </c>
      <c r="E317" s="27">
        <f>ROUND(E315*D317,0)</f>
        <v>462</v>
      </c>
      <c r="F317" s="27">
        <f t="shared" si="218"/>
        <v>0</v>
      </c>
      <c r="G317" s="27"/>
      <c r="H317" s="90"/>
      <c r="I317" s="27">
        <f t="shared" si="219"/>
        <v>0</v>
      </c>
      <c r="J317" s="27"/>
      <c r="K317" s="27">
        <f t="shared" si="220"/>
        <v>0</v>
      </c>
      <c r="L317" s="30" t="s">
        <v>11</v>
      </c>
      <c r="N317" s="4"/>
    </row>
    <row r="318" spans="1:14" x14ac:dyDescent="0.25">
      <c r="A318" s="23" t="str">
        <f>IF(TRIM(E318)&lt;&gt;"",COUNTA($E$10:E318)&amp;"","")</f>
        <v>301</v>
      </c>
      <c r="B318" s="18" t="s">
        <v>91</v>
      </c>
      <c r="C318" s="19" t="s">
        <v>1</v>
      </c>
      <c r="D318" s="20"/>
      <c r="E318" s="21">
        <f>E315</f>
        <v>92.35499999999999</v>
      </c>
      <c r="F318" s="21">
        <f>G318+H318</f>
        <v>0</v>
      </c>
      <c r="G318" s="89"/>
      <c r="H318" s="21"/>
      <c r="I318" s="21">
        <f>J318+K318</f>
        <v>0</v>
      </c>
      <c r="J318" s="39">
        <f>ROUND(G318*E318,2)</f>
        <v>0</v>
      </c>
      <c r="K318" s="21"/>
      <c r="L318" s="22"/>
      <c r="N318" s="4"/>
    </row>
    <row r="319" spans="1:14" ht="25.5" x14ac:dyDescent="0.25">
      <c r="A319" s="23" t="str">
        <f>IF(TRIM(E319)&lt;&gt;"",COUNTA($E$10:E319)&amp;"","")</f>
        <v>302</v>
      </c>
      <c r="B319" s="29" t="s">
        <v>21</v>
      </c>
      <c r="C319" s="25" t="s">
        <v>22</v>
      </c>
      <c r="D319" s="34">
        <v>1.0149999999999999</v>
      </c>
      <c r="E319" s="27">
        <f>E318*0.02*D319</f>
        <v>1.8748064999999996</v>
      </c>
      <c r="F319" s="27">
        <f t="shared" ref="F319:F320" si="221">G319+H319</f>
        <v>0</v>
      </c>
      <c r="G319" s="27"/>
      <c r="H319" s="90"/>
      <c r="I319" s="27">
        <f t="shared" ref="I319:I320" si="222">J319+K319</f>
        <v>0</v>
      </c>
      <c r="J319" s="27"/>
      <c r="K319" s="27">
        <f t="shared" ref="K319:K320" si="223">ROUND(H319*E319,2)</f>
        <v>0</v>
      </c>
      <c r="L319" s="28" t="s">
        <v>11</v>
      </c>
      <c r="N319" s="4"/>
    </row>
    <row r="320" spans="1:14" ht="25.5" x14ac:dyDescent="0.25">
      <c r="A320" s="23" t="str">
        <f>IF(TRIM(E320)&lt;&gt;"",COUNTA($E$10:E320)&amp;"","")</f>
        <v>303</v>
      </c>
      <c r="B320" s="24" t="s">
        <v>92</v>
      </c>
      <c r="C320" s="25" t="s">
        <v>1</v>
      </c>
      <c r="D320" s="26">
        <v>1.2</v>
      </c>
      <c r="E320" s="27">
        <f>E318*D320</f>
        <v>110.82599999999998</v>
      </c>
      <c r="F320" s="27">
        <f t="shared" si="221"/>
        <v>0</v>
      </c>
      <c r="G320" s="27"/>
      <c r="H320" s="90"/>
      <c r="I320" s="27">
        <f t="shared" si="222"/>
        <v>0</v>
      </c>
      <c r="J320" s="27"/>
      <c r="K320" s="27">
        <f t="shared" si="223"/>
        <v>0</v>
      </c>
      <c r="L320" s="28" t="s">
        <v>11</v>
      </c>
      <c r="N320" s="4"/>
    </row>
    <row r="321" spans="1:14" x14ac:dyDescent="0.25">
      <c r="A321" s="23" t="str">
        <f>IF(TRIM(E321)&lt;&gt;"",COUNTA($E$10:E321)&amp;"","")</f>
        <v>304</v>
      </c>
      <c r="B321" s="18" t="s">
        <v>51</v>
      </c>
      <c r="C321" s="19" t="s">
        <v>1</v>
      </c>
      <c r="D321" s="20"/>
      <c r="E321" s="21">
        <f>E313</f>
        <v>448.81</v>
      </c>
      <c r="F321" s="21">
        <f>G321+H321</f>
        <v>0</v>
      </c>
      <c r="G321" s="89"/>
      <c r="H321" s="21"/>
      <c r="I321" s="21">
        <f>J321+K321</f>
        <v>0</v>
      </c>
      <c r="J321" s="39">
        <f>ROUND(G321*E321,2)</f>
        <v>0</v>
      </c>
      <c r="K321" s="21"/>
      <c r="L321" s="22"/>
      <c r="N321" s="4"/>
    </row>
    <row r="322" spans="1:14" ht="25.5" x14ac:dyDescent="0.25">
      <c r="A322" s="23" t="str">
        <f>IF(TRIM(E322)&lt;&gt;"",COUNTA($E$10:E322)&amp;"","")</f>
        <v>305</v>
      </c>
      <c r="B322" s="29" t="s">
        <v>73</v>
      </c>
      <c r="C322" s="25" t="s">
        <v>1</v>
      </c>
      <c r="D322" s="26">
        <v>1.1499999999999999</v>
      </c>
      <c r="E322" s="27">
        <f>E321*D322</f>
        <v>516.13149999999996</v>
      </c>
      <c r="F322" s="27">
        <f t="shared" ref="F322" si="224">G322+H322</f>
        <v>0</v>
      </c>
      <c r="G322" s="27"/>
      <c r="H322" s="90"/>
      <c r="I322" s="27">
        <f t="shared" ref="I322" si="225">J322+K322</f>
        <v>0</v>
      </c>
      <c r="J322" s="27"/>
      <c r="K322" s="27">
        <f>ROUND(H322*E322,2)</f>
        <v>0</v>
      </c>
      <c r="L322" s="30" t="s">
        <v>11</v>
      </c>
      <c r="N322" s="4"/>
    </row>
    <row r="323" spans="1:14" ht="38.25" x14ac:dyDescent="0.25">
      <c r="A323" s="23" t="str">
        <f>IF(TRIM(E323)&lt;&gt;"",COUNTA($E$10:E323)&amp;"","")</f>
        <v>306</v>
      </c>
      <c r="B323" s="18" t="s">
        <v>134</v>
      </c>
      <c r="C323" s="19" t="s">
        <v>1</v>
      </c>
      <c r="D323" s="20"/>
      <c r="E323" s="21">
        <f>Расчет!E36+Расчет!E37</f>
        <v>448.81</v>
      </c>
      <c r="F323" s="21">
        <f>G323+H323</f>
        <v>0</v>
      </c>
      <c r="G323" s="89"/>
      <c r="H323" s="21"/>
      <c r="I323" s="21">
        <f>J323+K323</f>
        <v>0</v>
      </c>
      <c r="J323" s="39">
        <f>ROUND(G323*E323,2)</f>
        <v>0</v>
      </c>
      <c r="K323" s="21"/>
      <c r="L323" s="22"/>
      <c r="M323" s="5"/>
      <c r="N323" s="4"/>
    </row>
    <row r="324" spans="1:14" ht="25.5" x14ac:dyDescent="0.25">
      <c r="A324" s="23" t="str">
        <f>IF(TRIM(E324)&lt;&gt;"",COUNTA($E$10:E324)&amp;"","")</f>
        <v>307</v>
      </c>
      <c r="B324" s="24" t="s">
        <v>21</v>
      </c>
      <c r="C324" s="25" t="s">
        <v>22</v>
      </c>
      <c r="D324" s="34">
        <v>1.0149999999999999</v>
      </c>
      <c r="E324" s="27">
        <f>(Расчет!L41-Расчет!K41)*D324</f>
        <v>64.051405833333504</v>
      </c>
      <c r="F324" s="27">
        <f t="shared" ref="F324:F325" si="226">G324+H324</f>
        <v>0</v>
      </c>
      <c r="G324" s="27"/>
      <c r="H324" s="90"/>
      <c r="I324" s="27">
        <f t="shared" ref="I324:I325" si="227">J324+K324</f>
        <v>0</v>
      </c>
      <c r="J324" s="27"/>
      <c r="K324" s="27">
        <f t="shared" ref="K324:K325" si="228">ROUND(H324*E324,2)</f>
        <v>0</v>
      </c>
      <c r="L324" s="30" t="s">
        <v>11</v>
      </c>
      <c r="N324" s="4"/>
    </row>
    <row r="325" spans="1:14" ht="25.5" x14ac:dyDescent="0.25">
      <c r="A325" s="23" t="str">
        <f>IF(TRIM(E325)&lt;&gt;"",COUNTA($E$10:E325)&amp;"","")</f>
        <v>308</v>
      </c>
      <c r="B325" s="24" t="s">
        <v>74</v>
      </c>
      <c r="C325" s="25" t="s">
        <v>1</v>
      </c>
      <c r="D325" s="26">
        <v>1.2</v>
      </c>
      <c r="E325" s="27">
        <f>E323*D325</f>
        <v>538.572</v>
      </c>
      <c r="F325" s="27">
        <f t="shared" si="226"/>
        <v>0</v>
      </c>
      <c r="G325" s="27"/>
      <c r="H325" s="90"/>
      <c r="I325" s="27">
        <f t="shared" si="227"/>
        <v>0</v>
      </c>
      <c r="J325" s="27"/>
      <c r="K325" s="27">
        <f t="shared" si="228"/>
        <v>0</v>
      </c>
      <c r="L325" s="28" t="s">
        <v>11</v>
      </c>
      <c r="N325" s="4"/>
    </row>
    <row r="326" spans="1:14" ht="38.25" x14ac:dyDescent="0.25">
      <c r="A326" s="23" t="str">
        <f>IF(TRIM(E326)&lt;&gt;"",COUNTA($E$10:E326)&amp;"","")</f>
        <v>309</v>
      </c>
      <c r="B326" s="18" t="s">
        <v>24</v>
      </c>
      <c r="C326" s="19" t="s">
        <v>23</v>
      </c>
      <c r="D326" s="20"/>
      <c r="E326" s="21">
        <f>Расчет!F40</f>
        <v>196.5</v>
      </c>
      <c r="F326" s="21">
        <f>G326+H326</f>
        <v>0</v>
      </c>
      <c r="G326" s="89"/>
      <c r="H326" s="21"/>
      <c r="I326" s="21">
        <f>J326+K326</f>
        <v>0</v>
      </c>
      <c r="J326" s="39">
        <f>ROUND(G326*E326,2)</f>
        <v>0</v>
      </c>
      <c r="K326" s="21"/>
      <c r="L326" s="22"/>
      <c r="N326" s="4"/>
    </row>
    <row r="327" spans="1:14" ht="25.5" x14ac:dyDescent="0.25">
      <c r="A327" s="23" t="str">
        <f>IF(TRIM(E327)&lt;&gt;"",COUNTA($E$10:E327)&amp;"","")</f>
        <v>310</v>
      </c>
      <c r="B327" s="24" t="s">
        <v>21</v>
      </c>
      <c r="C327" s="25" t="s">
        <v>22</v>
      </c>
      <c r="D327" s="34">
        <v>5.0000000000000001E-3</v>
      </c>
      <c r="E327" s="27">
        <f>D327*E326</f>
        <v>0.98250000000000004</v>
      </c>
      <c r="F327" s="27">
        <f t="shared" ref="F327" si="229">G327+H327</f>
        <v>0</v>
      </c>
      <c r="G327" s="27"/>
      <c r="H327" s="90"/>
      <c r="I327" s="27">
        <f t="shared" ref="I327" si="230">J327+K327</f>
        <v>0</v>
      </c>
      <c r="J327" s="27"/>
      <c r="K327" s="27">
        <f>ROUND(H327*E327,2)</f>
        <v>0</v>
      </c>
      <c r="L327" s="30" t="s">
        <v>11</v>
      </c>
      <c r="N327" s="4"/>
    </row>
    <row r="328" spans="1:14" ht="25.5" x14ac:dyDescent="0.25">
      <c r="A328" s="23" t="str">
        <f>IF(TRIM(E328)&lt;&gt;"",COUNTA($E$10:E328)&amp;"","")</f>
        <v>311</v>
      </c>
      <c r="B328" s="18" t="s">
        <v>50</v>
      </c>
      <c r="C328" s="19" t="s">
        <v>1</v>
      </c>
      <c r="D328" s="20"/>
      <c r="E328" s="21">
        <f>E308</f>
        <v>517.58500000000004</v>
      </c>
      <c r="F328" s="21">
        <f>G328+H328</f>
        <v>0</v>
      </c>
      <c r="G328" s="89"/>
      <c r="H328" s="21"/>
      <c r="I328" s="21">
        <f>J328+K328</f>
        <v>0</v>
      </c>
      <c r="J328" s="39">
        <f>ROUND(G328*E328,2)</f>
        <v>0</v>
      </c>
      <c r="K328" s="21"/>
      <c r="L328" s="22"/>
      <c r="N328" s="4"/>
    </row>
    <row r="329" spans="1:14" ht="25.5" x14ac:dyDescent="0.25">
      <c r="A329" s="23" t="str">
        <f>IF(TRIM(E329)&lt;&gt;"",COUNTA($E$10:E329)&amp;"","")</f>
        <v>312</v>
      </c>
      <c r="B329" s="24" t="s">
        <v>75</v>
      </c>
      <c r="C329" s="25" t="s">
        <v>20</v>
      </c>
      <c r="D329" s="26">
        <v>0.35</v>
      </c>
      <c r="E329" s="27">
        <f>E328*D329</f>
        <v>181.15475000000001</v>
      </c>
      <c r="F329" s="27">
        <f t="shared" ref="F329" si="231">G329+H329</f>
        <v>0</v>
      </c>
      <c r="G329" s="27"/>
      <c r="H329" s="90"/>
      <c r="I329" s="27">
        <f t="shared" ref="I329" si="232">J329+K329</f>
        <v>0</v>
      </c>
      <c r="J329" s="27"/>
      <c r="K329" s="27">
        <f>ROUND(H329*E329,2)</f>
        <v>0</v>
      </c>
      <c r="L329" s="28" t="s">
        <v>11</v>
      </c>
      <c r="N329" s="4"/>
    </row>
    <row r="330" spans="1:14" x14ac:dyDescent="0.25">
      <c r="A330" s="23" t="str">
        <f>IF(TRIM(E330)&lt;&gt;"",COUNTA($E$10:E330)&amp;"","")</f>
        <v>313</v>
      </c>
      <c r="B330" s="18" t="s">
        <v>48</v>
      </c>
      <c r="C330" s="19" t="s">
        <v>1</v>
      </c>
      <c r="D330" s="20"/>
      <c r="E330" s="21">
        <f>Расчет!E36+Расчет!E37</f>
        <v>448.81</v>
      </c>
      <c r="F330" s="21">
        <f>G330+H330</f>
        <v>0</v>
      </c>
      <c r="G330" s="89"/>
      <c r="H330" s="21"/>
      <c r="I330" s="21">
        <f>J330+K330</f>
        <v>0</v>
      </c>
      <c r="J330" s="39">
        <f>ROUND(G330*E330,2)</f>
        <v>0</v>
      </c>
      <c r="K330" s="21"/>
      <c r="L330" s="22"/>
      <c r="N330" s="4"/>
    </row>
    <row r="331" spans="1:14" ht="25.5" x14ac:dyDescent="0.25">
      <c r="A331" s="23" t="str">
        <f>IF(TRIM(E331)&lt;&gt;"",COUNTA($E$10:E331)&amp;"","")</f>
        <v>314</v>
      </c>
      <c r="B331" s="24" t="s">
        <v>77</v>
      </c>
      <c r="C331" s="25" t="s">
        <v>1</v>
      </c>
      <c r="D331" s="26">
        <v>1.1399999999999999</v>
      </c>
      <c r="E331" s="27">
        <f>E330*D331</f>
        <v>511.64339999999999</v>
      </c>
      <c r="F331" s="27">
        <f t="shared" ref="F331:F333" si="233">G331+H331</f>
        <v>0</v>
      </c>
      <c r="G331" s="27"/>
      <c r="H331" s="90"/>
      <c r="I331" s="27">
        <f t="shared" ref="I331:I333" si="234">J331+K331</f>
        <v>0</v>
      </c>
      <c r="J331" s="27"/>
      <c r="K331" s="27">
        <f t="shared" ref="K331:K333" si="235">ROUND(H331*E331,2)</f>
        <v>0</v>
      </c>
      <c r="L331" s="28" t="s">
        <v>11</v>
      </c>
      <c r="N331" s="4"/>
    </row>
    <row r="332" spans="1:14" ht="25.5" x14ac:dyDescent="0.25">
      <c r="A332" s="23" t="str">
        <f>IF(TRIM(E332)&lt;&gt;"",COUNTA($E$10:E332)&amp;"","")</f>
        <v>315</v>
      </c>
      <c r="B332" s="24" t="s">
        <v>118</v>
      </c>
      <c r="C332" s="25" t="s">
        <v>1</v>
      </c>
      <c r="D332" s="26">
        <v>1.1599999999999999</v>
      </c>
      <c r="E332" s="27">
        <f>E330*D332</f>
        <v>520.61959999999999</v>
      </c>
      <c r="F332" s="27">
        <f t="shared" si="233"/>
        <v>0</v>
      </c>
      <c r="G332" s="27"/>
      <c r="H332" s="90"/>
      <c r="I332" s="27">
        <f t="shared" si="234"/>
        <v>0</v>
      </c>
      <c r="J332" s="27"/>
      <c r="K332" s="27">
        <f t="shared" si="235"/>
        <v>0</v>
      </c>
      <c r="L332" s="28" t="s">
        <v>11</v>
      </c>
      <c r="N332" s="4"/>
    </row>
    <row r="333" spans="1:14" ht="25.5" x14ac:dyDescent="0.25">
      <c r="A333" s="23" t="str">
        <f>IF(TRIM(E333)&lt;&gt;"",COUNTA($E$10:E333)&amp;"","")</f>
        <v>316</v>
      </c>
      <c r="B333" s="24" t="s">
        <v>117</v>
      </c>
      <c r="C333" s="32" t="s">
        <v>3</v>
      </c>
      <c r="D333" s="33">
        <v>0.6</v>
      </c>
      <c r="E333" s="27">
        <f>E330*D333</f>
        <v>269.286</v>
      </c>
      <c r="F333" s="27">
        <f t="shared" si="233"/>
        <v>0</v>
      </c>
      <c r="G333" s="27"/>
      <c r="H333" s="90"/>
      <c r="I333" s="27">
        <f t="shared" si="234"/>
        <v>0</v>
      </c>
      <c r="J333" s="27"/>
      <c r="K333" s="27">
        <f t="shared" si="235"/>
        <v>0</v>
      </c>
      <c r="L333" s="28" t="s">
        <v>11</v>
      </c>
      <c r="N333" s="4"/>
    </row>
    <row r="334" spans="1:14" ht="25.5" x14ac:dyDescent="0.25">
      <c r="A334" s="23" t="str">
        <f>IF(TRIM(E334)&lt;&gt;"",COUNTA($E$10:E334)&amp;"","")</f>
        <v>317</v>
      </c>
      <c r="B334" s="18" t="s">
        <v>119</v>
      </c>
      <c r="C334" s="19" t="s">
        <v>23</v>
      </c>
      <c r="D334" s="20"/>
      <c r="E334" s="21">
        <f>E326</f>
        <v>196.5</v>
      </c>
      <c r="F334" s="21">
        <f>G334+H334</f>
        <v>0</v>
      </c>
      <c r="G334" s="89"/>
      <c r="H334" s="21"/>
      <c r="I334" s="21">
        <f>J334+K334</f>
        <v>0</v>
      </c>
      <c r="J334" s="39">
        <f>ROUND(G334*E334,2)</f>
        <v>0</v>
      </c>
      <c r="K334" s="21"/>
      <c r="L334" s="22"/>
      <c r="N334" s="4"/>
    </row>
    <row r="335" spans="1:14" ht="25.5" x14ac:dyDescent="0.25">
      <c r="A335" s="23" t="str">
        <f>IF(TRIM(E335)&lt;&gt;"",COUNTA($E$10:E335)&amp;"","")</f>
        <v>318</v>
      </c>
      <c r="B335" s="24" t="s">
        <v>77</v>
      </c>
      <c r="C335" s="25" t="s">
        <v>1</v>
      </c>
      <c r="D335" s="26">
        <v>1.1399999999999999</v>
      </c>
      <c r="E335" s="27">
        <f>E334*0.6*D335</f>
        <v>134.40599999999998</v>
      </c>
      <c r="F335" s="27">
        <f t="shared" ref="F335:F340" si="236">G335+H335</f>
        <v>0</v>
      </c>
      <c r="G335" s="27"/>
      <c r="H335" s="90"/>
      <c r="I335" s="27">
        <f t="shared" ref="I335:I340" si="237">J335+K335</f>
        <v>0</v>
      </c>
      <c r="J335" s="27"/>
      <c r="K335" s="27">
        <f t="shared" ref="K335:K340" si="238">ROUND(H335*E335,2)</f>
        <v>0</v>
      </c>
      <c r="L335" s="30" t="s">
        <v>11</v>
      </c>
      <c r="N335" s="4"/>
    </row>
    <row r="336" spans="1:14" ht="25.5" x14ac:dyDescent="0.25">
      <c r="A336" s="23" t="str">
        <f>IF(TRIM(E336)&lt;&gt;"",COUNTA($E$10:E336)&amp;"","")</f>
        <v>319</v>
      </c>
      <c r="B336" s="24" t="s">
        <v>118</v>
      </c>
      <c r="C336" s="25" t="s">
        <v>1</v>
      </c>
      <c r="D336" s="26">
        <v>1.1599999999999999</v>
      </c>
      <c r="E336" s="27">
        <f>E334*0.6*D336</f>
        <v>136.76399999999998</v>
      </c>
      <c r="F336" s="27">
        <f t="shared" si="236"/>
        <v>0</v>
      </c>
      <c r="G336" s="27"/>
      <c r="H336" s="90"/>
      <c r="I336" s="27">
        <f t="shared" si="237"/>
        <v>0</v>
      </c>
      <c r="J336" s="27"/>
      <c r="K336" s="27">
        <f t="shared" si="238"/>
        <v>0</v>
      </c>
      <c r="L336" s="30" t="s">
        <v>11</v>
      </c>
      <c r="N336" s="4"/>
    </row>
    <row r="337" spans="1:14" ht="25.5" x14ac:dyDescent="0.25">
      <c r="A337" s="23" t="str">
        <f>IF(TRIM(E337)&lt;&gt;"",COUNTA($E$10:E337)&amp;"","")</f>
        <v>320</v>
      </c>
      <c r="B337" s="24" t="s">
        <v>117</v>
      </c>
      <c r="C337" s="32" t="s">
        <v>3</v>
      </c>
      <c r="D337" s="26">
        <v>0.6</v>
      </c>
      <c r="E337" s="27">
        <f>E334*D337</f>
        <v>117.89999999999999</v>
      </c>
      <c r="F337" s="27">
        <f t="shared" si="236"/>
        <v>0</v>
      </c>
      <c r="G337" s="27"/>
      <c r="H337" s="90"/>
      <c r="I337" s="27">
        <f t="shared" si="237"/>
        <v>0</v>
      </c>
      <c r="J337" s="27"/>
      <c r="K337" s="27">
        <f t="shared" si="238"/>
        <v>0</v>
      </c>
      <c r="L337" s="30" t="s">
        <v>11</v>
      </c>
      <c r="N337" s="4"/>
    </row>
    <row r="338" spans="1:14" ht="25.5" x14ac:dyDescent="0.25">
      <c r="A338" s="23" t="str">
        <f>IF(TRIM(E338)&lt;&gt;"",COUNTA($E$10:E338)&amp;"","")</f>
        <v>321</v>
      </c>
      <c r="B338" s="24" t="s">
        <v>33</v>
      </c>
      <c r="C338" s="36" t="s">
        <v>2</v>
      </c>
      <c r="D338" s="26">
        <v>1.03</v>
      </c>
      <c r="E338" s="27">
        <f>E334*D338</f>
        <v>202.39500000000001</v>
      </c>
      <c r="F338" s="27">
        <f t="shared" si="236"/>
        <v>0</v>
      </c>
      <c r="G338" s="27"/>
      <c r="H338" s="90"/>
      <c r="I338" s="27">
        <f t="shared" si="237"/>
        <v>0</v>
      </c>
      <c r="J338" s="27"/>
      <c r="K338" s="27">
        <f t="shared" si="238"/>
        <v>0</v>
      </c>
      <c r="L338" s="30" t="s">
        <v>11</v>
      </c>
      <c r="N338" s="4"/>
    </row>
    <row r="339" spans="1:14" ht="25.5" x14ac:dyDescent="0.25">
      <c r="A339" s="23" t="str">
        <f>IF(TRIM(E339)&lt;&gt;"",COUNTA($E$10:E339)&amp;"","")</f>
        <v>322</v>
      </c>
      <c r="B339" s="24" t="s">
        <v>25</v>
      </c>
      <c r="C339" s="32" t="s">
        <v>0</v>
      </c>
      <c r="D339" s="26">
        <v>5</v>
      </c>
      <c r="E339" s="27">
        <f>ROUNDUP(E338*D339,0)</f>
        <v>1012</v>
      </c>
      <c r="F339" s="27">
        <f t="shared" si="236"/>
        <v>0</v>
      </c>
      <c r="G339" s="27"/>
      <c r="H339" s="90"/>
      <c r="I339" s="27">
        <f t="shared" si="237"/>
        <v>0</v>
      </c>
      <c r="J339" s="27"/>
      <c r="K339" s="27">
        <f t="shared" si="238"/>
        <v>0</v>
      </c>
      <c r="L339" s="30" t="s">
        <v>11</v>
      </c>
      <c r="N339" s="4"/>
    </row>
    <row r="340" spans="1:14" ht="25.5" x14ac:dyDescent="0.25">
      <c r="A340" s="23" t="str">
        <f>IF(TRIM(E340)&lt;&gt;"",COUNTA($E$10:E340)&amp;"","")</f>
        <v>323</v>
      </c>
      <c r="B340" s="24" t="s">
        <v>57</v>
      </c>
      <c r="C340" s="37" t="s">
        <v>0</v>
      </c>
      <c r="D340" s="26">
        <v>0.15</v>
      </c>
      <c r="E340" s="27">
        <f>ROUNDDOWN(E334*0.15,0)</f>
        <v>29</v>
      </c>
      <c r="F340" s="27">
        <f t="shared" si="236"/>
        <v>0</v>
      </c>
      <c r="G340" s="27"/>
      <c r="H340" s="90"/>
      <c r="I340" s="27">
        <f t="shared" si="237"/>
        <v>0</v>
      </c>
      <c r="J340" s="27"/>
      <c r="K340" s="27">
        <f t="shared" si="238"/>
        <v>0</v>
      </c>
      <c r="L340" s="30" t="s">
        <v>11</v>
      </c>
      <c r="N340" s="4"/>
    </row>
    <row r="341" spans="1:14" x14ac:dyDescent="0.25">
      <c r="A341" s="23" t="str">
        <f>IF(TRIM(E341)&lt;&gt;"",COUNTA($E$10:E341)&amp;"","")</f>
        <v>324</v>
      </c>
      <c r="B341" s="18" t="s">
        <v>26</v>
      </c>
      <c r="C341" s="19" t="s">
        <v>0</v>
      </c>
      <c r="D341" s="20"/>
      <c r="E341" s="21">
        <v>2</v>
      </c>
      <c r="F341" s="21">
        <f>G341+H341</f>
        <v>0</v>
      </c>
      <c r="G341" s="89"/>
      <c r="H341" s="21"/>
      <c r="I341" s="21">
        <f>J341+K341</f>
        <v>0</v>
      </c>
      <c r="J341" s="39">
        <f>ROUND(G341*E341,2)</f>
        <v>0</v>
      </c>
      <c r="K341" s="21"/>
      <c r="L341" s="22"/>
      <c r="N341" s="4"/>
    </row>
    <row r="342" spans="1:14" ht="38.25" x14ac:dyDescent="0.25">
      <c r="A342" s="23" t="str">
        <f>IF(TRIM(E342)&lt;&gt;"",COUNTA($E$10:E342)&amp;"","")</f>
        <v>325</v>
      </c>
      <c r="B342" s="24" t="s">
        <v>120</v>
      </c>
      <c r="C342" s="25" t="s">
        <v>0</v>
      </c>
      <c r="D342" s="26">
        <v>1</v>
      </c>
      <c r="E342" s="27">
        <f>E341</f>
        <v>2</v>
      </c>
      <c r="F342" s="27">
        <f t="shared" ref="F342" si="239">G342+H342</f>
        <v>0</v>
      </c>
      <c r="G342" s="27"/>
      <c r="H342" s="90"/>
      <c r="I342" s="27">
        <f t="shared" ref="I342" si="240">J342+K342</f>
        <v>0</v>
      </c>
      <c r="J342" s="27"/>
      <c r="K342" s="27">
        <f>ROUND(H342*E342,2)</f>
        <v>0</v>
      </c>
      <c r="L342" s="30" t="s">
        <v>11</v>
      </c>
      <c r="N342" s="4"/>
    </row>
    <row r="343" spans="1:14" x14ac:dyDescent="0.25">
      <c r="A343" s="23" t="str">
        <f>IF(TRIM(E343)&lt;&gt;"",COUNTA($E$10:E343)&amp;"","")</f>
        <v>326</v>
      </c>
      <c r="B343" s="18" t="s">
        <v>46</v>
      </c>
      <c r="C343" s="19" t="s">
        <v>0</v>
      </c>
      <c r="D343" s="20"/>
      <c r="E343" s="21">
        <v>1</v>
      </c>
      <c r="F343" s="21">
        <f>G343+H343</f>
        <v>0</v>
      </c>
      <c r="G343" s="89"/>
      <c r="H343" s="21"/>
      <c r="I343" s="21">
        <f>J343+K343</f>
        <v>0</v>
      </c>
      <c r="J343" s="39">
        <f>ROUND(G343*E343,2)</f>
        <v>0</v>
      </c>
      <c r="K343" s="21"/>
      <c r="L343" s="22"/>
      <c r="N343" s="4"/>
    </row>
    <row r="344" spans="1:14" ht="25.5" x14ac:dyDescent="0.25">
      <c r="A344" s="23" t="str">
        <f>IF(TRIM(E344)&lt;&gt;"",COUNTA($E$10:E344)&amp;"","")</f>
        <v>327</v>
      </c>
      <c r="B344" s="24" t="s">
        <v>78</v>
      </c>
      <c r="C344" s="25" t="s">
        <v>0</v>
      </c>
      <c r="D344" s="26">
        <v>1</v>
      </c>
      <c r="E344" s="27">
        <f>E343</f>
        <v>1</v>
      </c>
      <c r="F344" s="27">
        <f t="shared" ref="F344" si="241">G344+H344</f>
        <v>0</v>
      </c>
      <c r="G344" s="27"/>
      <c r="H344" s="90"/>
      <c r="I344" s="27">
        <f t="shared" ref="I344" si="242">J344+K344</f>
        <v>0</v>
      </c>
      <c r="J344" s="27"/>
      <c r="K344" s="27">
        <f>ROUND(H344*E344,2)</f>
        <v>0</v>
      </c>
      <c r="L344" s="30" t="s">
        <v>11</v>
      </c>
      <c r="N344" s="4"/>
    </row>
    <row r="345" spans="1:14" x14ac:dyDescent="0.25">
      <c r="A345" s="23" t="str">
        <f>IF(TRIM(E345)&lt;&gt;"",COUNTA($E$10:E345)&amp;"","")</f>
        <v>328</v>
      </c>
      <c r="B345" s="18" t="s">
        <v>44</v>
      </c>
      <c r="C345" s="19" t="s">
        <v>0</v>
      </c>
      <c r="D345" s="20"/>
      <c r="E345" s="21">
        <v>6</v>
      </c>
      <c r="F345" s="21">
        <f>G345+H345</f>
        <v>0</v>
      </c>
      <c r="G345" s="89"/>
      <c r="H345" s="21"/>
      <c r="I345" s="21">
        <f>J345+K345</f>
        <v>0</v>
      </c>
      <c r="J345" s="39">
        <f>ROUND(G345*E345,2)</f>
        <v>0</v>
      </c>
      <c r="K345" s="21"/>
      <c r="L345" s="22"/>
      <c r="N345" s="4"/>
    </row>
    <row r="346" spans="1:14" ht="25.5" x14ac:dyDescent="0.25">
      <c r="A346" s="23" t="str">
        <f>IF(TRIM(E346)&lt;&gt;"",COUNTA($E$10:E346)&amp;"","")</f>
        <v>329</v>
      </c>
      <c r="B346" s="24" t="s">
        <v>54</v>
      </c>
      <c r="C346" s="25" t="s">
        <v>0</v>
      </c>
      <c r="D346" s="26">
        <v>1</v>
      </c>
      <c r="E346" s="27">
        <f>E345*D346</f>
        <v>6</v>
      </c>
      <c r="F346" s="27">
        <f t="shared" ref="F346" si="243">G346+H346</f>
        <v>0</v>
      </c>
      <c r="G346" s="27"/>
      <c r="H346" s="90"/>
      <c r="I346" s="27">
        <f t="shared" ref="I346" si="244">J346+K346</f>
        <v>0</v>
      </c>
      <c r="J346" s="27"/>
      <c r="K346" s="27">
        <f>ROUND(H346*E346,2)</f>
        <v>0</v>
      </c>
      <c r="L346" s="30" t="s">
        <v>11</v>
      </c>
      <c r="N346" s="4"/>
    </row>
    <row r="347" spans="1:14" x14ac:dyDescent="0.25">
      <c r="A347" s="23" t="str">
        <f>IF(TRIM(E347)&lt;&gt;"",COUNTA($E$10:E347)&amp;"","")</f>
        <v>330</v>
      </c>
      <c r="B347" s="18" t="s">
        <v>52</v>
      </c>
      <c r="C347" s="19" t="s">
        <v>0</v>
      </c>
      <c r="D347" s="20"/>
      <c r="E347" s="21">
        <v>4</v>
      </c>
      <c r="F347" s="21">
        <f>G347+H347</f>
        <v>0</v>
      </c>
      <c r="G347" s="89"/>
      <c r="H347" s="21"/>
      <c r="I347" s="21">
        <f>J347+K347</f>
        <v>0</v>
      </c>
      <c r="J347" s="39">
        <f>ROUND(G347*E347,2)</f>
        <v>0</v>
      </c>
      <c r="K347" s="21"/>
      <c r="L347" s="22"/>
      <c r="N347" s="4"/>
    </row>
    <row r="348" spans="1:14" ht="25.5" x14ac:dyDescent="0.25">
      <c r="A348" s="23" t="str">
        <f>IF(TRIM(E348)&lt;&gt;"",COUNTA($E$10:E348)&amp;"","")</f>
        <v>331</v>
      </c>
      <c r="B348" s="31" t="s">
        <v>49</v>
      </c>
      <c r="C348" s="25" t="s">
        <v>0</v>
      </c>
      <c r="D348" s="26">
        <v>0.15</v>
      </c>
      <c r="E348" s="27">
        <f>ROUNDUP(D348*E347,0)</f>
        <v>1</v>
      </c>
      <c r="F348" s="27">
        <f t="shared" ref="F348:F349" si="245">G348+H348</f>
        <v>0</v>
      </c>
      <c r="G348" s="27"/>
      <c r="H348" s="90"/>
      <c r="I348" s="27">
        <f t="shared" ref="I348:I349" si="246">J348+K348</f>
        <v>0</v>
      </c>
      <c r="J348" s="27"/>
      <c r="K348" s="27">
        <f t="shared" ref="K348:K349" si="247">ROUND(H348*E348,2)</f>
        <v>0</v>
      </c>
      <c r="L348" s="30" t="s">
        <v>11</v>
      </c>
      <c r="N348" s="4"/>
    </row>
    <row r="349" spans="1:14" ht="25.5" x14ac:dyDescent="0.25">
      <c r="A349" s="23" t="str">
        <f>IF(TRIM(E349)&lt;&gt;"",COUNTA($E$10:E349)&amp;"","")</f>
        <v>332</v>
      </c>
      <c r="B349" s="24" t="s">
        <v>55</v>
      </c>
      <c r="C349" s="25" t="s">
        <v>0</v>
      </c>
      <c r="D349" s="26">
        <v>1</v>
      </c>
      <c r="E349" s="27">
        <f>E347*D349</f>
        <v>4</v>
      </c>
      <c r="F349" s="27">
        <f t="shared" si="245"/>
        <v>0</v>
      </c>
      <c r="G349" s="27"/>
      <c r="H349" s="90"/>
      <c r="I349" s="27">
        <f t="shared" si="246"/>
        <v>0</v>
      </c>
      <c r="J349" s="27"/>
      <c r="K349" s="27">
        <f t="shared" si="247"/>
        <v>0</v>
      </c>
      <c r="L349" s="30" t="s">
        <v>11</v>
      </c>
      <c r="N349" s="4"/>
    </row>
    <row r="350" spans="1:14" x14ac:dyDescent="0.25">
      <c r="A350" s="23" t="str">
        <f>IF(TRIM(E350)&lt;&gt;"",COUNTA($E$10:E350)&amp;"","")</f>
        <v>333</v>
      </c>
      <c r="B350" s="18" t="s">
        <v>56</v>
      </c>
      <c r="C350" s="19" t="s">
        <v>0</v>
      </c>
      <c r="D350" s="20"/>
      <c r="E350" s="21">
        <v>1</v>
      </c>
      <c r="F350" s="21">
        <f>G350+H350</f>
        <v>0</v>
      </c>
      <c r="G350" s="89"/>
      <c r="H350" s="21"/>
      <c r="I350" s="21">
        <f>J350+K350</f>
        <v>0</v>
      </c>
      <c r="J350" s="39">
        <f>ROUND(G350*E350,2)</f>
        <v>0</v>
      </c>
      <c r="K350" s="21"/>
      <c r="L350" s="22"/>
      <c r="N350" s="4"/>
    </row>
    <row r="351" spans="1:14" ht="25.5" x14ac:dyDescent="0.25">
      <c r="A351" s="23" t="str">
        <f>IF(TRIM(E351)&lt;&gt;"",COUNTA($E$10:E351)&amp;"","")</f>
        <v>334</v>
      </c>
      <c r="B351" s="24" t="s">
        <v>79</v>
      </c>
      <c r="C351" s="25" t="s">
        <v>0</v>
      </c>
      <c r="D351" s="26">
        <v>1</v>
      </c>
      <c r="E351" s="27">
        <f>D351*E350</f>
        <v>1</v>
      </c>
      <c r="F351" s="27">
        <f t="shared" ref="F351:F354" si="248">G351+H351</f>
        <v>0</v>
      </c>
      <c r="G351" s="27"/>
      <c r="H351" s="90"/>
      <c r="I351" s="27">
        <f t="shared" ref="I351:I354" si="249">J351+K351</f>
        <v>0</v>
      </c>
      <c r="J351" s="27"/>
      <c r="K351" s="27">
        <f t="shared" ref="K351:K354" si="250">ROUND(H351*E351,2)</f>
        <v>0</v>
      </c>
      <c r="L351" s="30" t="s">
        <v>11</v>
      </c>
      <c r="N351" s="4"/>
    </row>
    <row r="352" spans="1:14" ht="25.5" x14ac:dyDescent="0.25">
      <c r="A352" s="23" t="str">
        <f>IF(TRIM(E352)&lt;&gt;"",COUNTA($E$10:E352)&amp;"","")</f>
        <v>335</v>
      </c>
      <c r="B352" s="24" t="s">
        <v>121</v>
      </c>
      <c r="C352" s="25" t="s">
        <v>0</v>
      </c>
      <c r="D352" s="26">
        <v>1</v>
      </c>
      <c r="E352" s="27">
        <f>D352*E350</f>
        <v>1</v>
      </c>
      <c r="F352" s="27">
        <f t="shared" si="248"/>
        <v>0</v>
      </c>
      <c r="G352" s="27"/>
      <c r="H352" s="90"/>
      <c r="I352" s="27">
        <f t="shared" si="249"/>
        <v>0</v>
      </c>
      <c r="J352" s="27"/>
      <c r="K352" s="27">
        <f t="shared" si="250"/>
        <v>0</v>
      </c>
      <c r="L352" s="30" t="s">
        <v>11</v>
      </c>
      <c r="N352" s="4"/>
    </row>
    <row r="353" spans="1:14" ht="25.5" x14ac:dyDescent="0.25">
      <c r="A353" s="23" t="str">
        <f>IF(TRIM(E353)&lt;&gt;"",COUNTA($E$10:E353)&amp;"","")</f>
        <v>336</v>
      </c>
      <c r="B353" s="24" t="s">
        <v>80</v>
      </c>
      <c r="C353" s="25" t="s">
        <v>0</v>
      </c>
      <c r="D353" s="26">
        <v>1</v>
      </c>
      <c r="E353" s="27">
        <f>D353*E350</f>
        <v>1</v>
      </c>
      <c r="F353" s="27">
        <f t="shared" si="248"/>
        <v>0</v>
      </c>
      <c r="G353" s="27"/>
      <c r="H353" s="90"/>
      <c r="I353" s="27">
        <f t="shared" si="249"/>
        <v>0</v>
      </c>
      <c r="J353" s="27"/>
      <c r="K353" s="27">
        <f t="shared" si="250"/>
        <v>0</v>
      </c>
      <c r="L353" s="30" t="s">
        <v>11</v>
      </c>
      <c r="N353" s="4"/>
    </row>
    <row r="354" spans="1:14" ht="25.5" x14ac:dyDescent="0.25">
      <c r="A354" s="23" t="str">
        <f>IF(TRIM(E354)&lt;&gt;"",COUNTA($E$10:E354)&amp;"","")</f>
        <v>337</v>
      </c>
      <c r="B354" s="24" t="s">
        <v>27</v>
      </c>
      <c r="C354" s="25" t="s">
        <v>0</v>
      </c>
      <c r="D354" s="26">
        <v>2</v>
      </c>
      <c r="E354" s="27">
        <f>D354*E350</f>
        <v>2</v>
      </c>
      <c r="F354" s="27">
        <f t="shared" si="248"/>
        <v>0</v>
      </c>
      <c r="G354" s="27"/>
      <c r="H354" s="90"/>
      <c r="I354" s="27">
        <f t="shared" si="249"/>
        <v>0</v>
      </c>
      <c r="J354" s="27"/>
      <c r="K354" s="27">
        <f t="shared" si="250"/>
        <v>0</v>
      </c>
      <c r="L354" s="30" t="s">
        <v>11</v>
      </c>
      <c r="N354" s="4"/>
    </row>
    <row r="355" spans="1:14" x14ac:dyDescent="0.25">
      <c r="A355" s="23" t="str">
        <f>IF(TRIM(E355)&lt;&gt;"",COUNTA($E$10:E355)&amp;"","")</f>
        <v>338</v>
      </c>
      <c r="B355" s="43" t="s">
        <v>171</v>
      </c>
      <c r="C355" s="19" t="s">
        <v>0</v>
      </c>
      <c r="D355" s="38"/>
      <c r="E355" s="21">
        <v>1</v>
      </c>
      <c r="F355" s="21">
        <f>G355+H355</f>
        <v>0</v>
      </c>
      <c r="G355" s="89"/>
      <c r="H355" s="21"/>
      <c r="I355" s="21">
        <f>J355+K355</f>
        <v>0</v>
      </c>
      <c r="J355" s="39">
        <f>ROUND(G355*E355,2)</f>
        <v>0</v>
      </c>
      <c r="K355" s="21"/>
      <c r="L355" s="40"/>
      <c r="N355" s="4"/>
    </row>
    <row r="356" spans="1:14" ht="25.5" x14ac:dyDescent="0.25">
      <c r="A356" s="23" t="str">
        <f>IF(TRIM(E356)&lt;&gt;"",COUNTA($E$10:E356)&amp;"","")</f>
        <v>339</v>
      </c>
      <c r="B356" s="31" t="s">
        <v>93</v>
      </c>
      <c r="C356" s="25" t="s">
        <v>3</v>
      </c>
      <c r="D356" s="37">
        <v>1.03</v>
      </c>
      <c r="E356" s="44">
        <f>ROUND((2.863*4.81)*2*D356*E355,2)</f>
        <v>28.37</v>
      </c>
      <c r="F356" s="27">
        <f t="shared" ref="F356:F367" si="251">G356+H356</f>
        <v>0</v>
      </c>
      <c r="G356" s="27"/>
      <c r="H356" s="90"/>
      <c r="I356" s="27">
        <f t="shared" ref="I356:I367" si="252">J356+K356</f>
        <v>0</v>
      </c>
      <c r="J356" s="27"/>
      <c r="K356" s="27">
        <f t="shared" ref="K356:K367" si="253">ROUND(H356*E356,2)</f>
        <v>0</v>
      </c>
      <c r="L356" s="30" t="s">
        <v>11</v>
      </c>
      <c r="N356" s="4"/>
    </row>
    <row r="357" spans="1:14" ht="25.5" x14ac:dyDescent="0.25">
      <c r="A357" s="23" t="str">
        <f>IF(TRIM(E357)&lt;&gt;"",COUNTA($E$10:E357)&amp;"","")</f>
        <v>340</v>
      </c>
      <c r="B357" s="31" t="s">
        <v>94</v>
      </c>
      <c r="C357" s="25" t="s">
        <v>3</v>
      </c>
      <c r="D357" s="37">
        <v>1.03</v>
      </c>
      <c r="E357" s="45">
        <f>ROUND((0.343*4.81)*2*D357*E355,2)</f>
        <v>3.4</v>
      </c>
      <c r="F357" s="27">
        <f t="shared" si="251"/>
        <v>0</v>
      </c>
      <c r="G357" s="27"/>
      <c r="H357" s="90"/>
      <c r="I357" s="27">
        <f t="shared" si="252"/>
        <v>0</v>
      </c>
      <c r="J357" s="27"/>
      <c r="K357" s="27">
        <f t="shared" si="253"/>
        <v>0</v>
      </c>
      <c r="L357" s="30" t="s">
        <v>11</v>
      </c>
      <c r="N357" s="4"/>
    </row>
    <row r="358" spans="1:14" ht="25.5" x14ac:dyDescent="0.25">
      <c r="A358" s="23" t="str">
        <f>IF(TRIM(E358)&lt;&gt;"",COUNTA($E$10:E358)&amp;"","")</f>
        <v>341</v>
      </c>
      <c r="B358" s="31" t="s">
        <v>95</v>
      </c>
      <c r="C358" s="25" t="s">
        <v>3</v>
      </c>
      <c r="D358" s="37">
        <v>1.03</v>
      </c>
      <c r="E358" s="45">
        <f>ROUND((0.48*4.81)*10*D358*E355,2)</f>
        <v>23.78</v>
      </c>
      <c r="F358" s="27">
        <f t="shared" si="251"/>
        <v>0</v>
      </c>
      <c r="G358" s="27"/>
      <c r="H358" s="90"/>
      <c r="I358" s="27">
        <f t="shared" si="252"/>
        <v>0</v>
      </c>
      <c r="J358" s="27"/>
      <c r="K358" s="27">
        <f t="shared" si="253"/>
        <v>0</v>
      </c>
      <c r="L358" s="30" t="s">
        <v>11</v>
      </c>
      <c r="N358" s="4"/>
    </row>
    <row r="359" spans="1:14" ht="25.5" x14ac:dyDescent="0.25">
      <c r="A359" s="23" t="str">
        <f>IF(TRIM(E359)&lt;&gt;"",COUNTA($E$10:E359)&amp;"","")</f>
        <v>342</v>
      </c>
      <c r="B359" s="31" t="s">
        <v>58</v>
      </c>
      <c r="C359" s="25" t="s">
        <v>3</v>
      </c>
      <c r="D359" s="37">
        <v>1.03</v>
      </c>
      <c r="E359" s="45">
        <f>ROUND((0.3*4.81)*2*D359*E355,2)</f>
        <v>2.97</v>
      </c>
      <c r="F359" s="27">
        <f t="shared" si="251"/>
        <v>0</v>
      </c>
      <c r="G359" s="27"/>
      <c r="H359" s="90"/>
      <c r="I359" s="27">
        <f t="shared" si="252"/>
        <v>0</v>
      </c>
      <c r="J359" s="27"/>
      <c r="K359" s="27">
        <f t="shared" si="253"/>
        <v>0</v>
      </c>
      <c r="L359" s="30" t="s">
        <v>11</v>
      </c>
      <c r="N359" s="4"/>
    </row>
    <row r="360" spans="1:14" ht="25.5" x14ac:dyDescent="0.25">
      <c r="A360" s="23" t="str">
        <f>IF(TRIM(E360)&lt;&gt;"",COUNTA($E$10:E360)&amp;"","")</f>
        <v>343</v>
      </c>
      <c r="B360" s="31" t="s">
        <v>59</v>
      </c>
      <c r="C360" s="25" t="s">
        <v>3</v>
      </c>
      <c r="D360" s="32">
        <v>1.03</v>
      </c>
      <c r="E360" s="45">
        <f>ROUND(5.55*0.73*8*D360*E355,2)</f>
        <v>33.380000000000003</v>
      </c>
      <c r="F360" s="27">
        <f t="shared" si="251"/>
        <v>0</v>
      </c>
      <c r="G360" s="27"/>
      <c r="H360" s="90"/>
      <c r="I360" s="27">
        <f t="shared" si="252"/>
        <v>0</v>
      </c>
      <c r="J360" s="27"/>
      <c r="K360" s="27">
        <f t="shared" si="253"/>
        <v>0</v>
      </c>
      <c r="L360" s="30" t="s">
        <v>11</v>
      </c>
      <c r="N360" s="4"/>
    </row>
    <row r="361" spans="1:14" ht="25.5" x14ac:dyDescent="0.25">
      <c r="A361" s="23" t="str">
        <f>IF(TRIM(E361)&lt;&gt;"",COUNTA($E$10:E361)&amp;"","")</f>
        <v>344</v>
      </c>
      <c r="B361" s="31" t="s">
        <v>122</v>
      </c>
      <c r="C361" s="25" t="s">
        <v>3</v>
      </c>
      <c r="D361" s="32">
        <v>1.03</v>
      </c>
      <c r="E361" s="45">
        <f>ROUND(4.43*2.48*2*D361*E355,2)</f>
        <v>22.63</v>
      </c>
      <c r="F361" s="27">
        <f t="shared" si="251"/>
        <v>0</v>
      </c>
      <c r="G361" s="27"/>
      <c r="H361" s="90"/>
      <c r="I361" s="27">
        <f t="shared" si="252"/>
        <v>0</v>
      </c>
      <c r="J361" s="27"/>
      <c r="K361" s="27">
        <f t="shared" si="253"/>
        <v>0</v>
      </c>
      <c r="L361" s="30" t="s">
        <v>11</v>
      </c>
      <c r="N361" s="4"/>
    </row>
    <row r="362" spans="1:14" ht="25.5" x14ac:dyDescent="0.25">
      <c r="A362" s="23" t="str">
        <f>IF(TRIM(E362)&lt;&gt;"",COUNTA($E$10:E362)&amp;"","")</f>
        <v>345</v>
      </c>
      <c r="B362" s="31" t="s">
        <v>60</v>
      </c>
      <c r="C362" s="25" t="s">
        <v>0</v>
      </c>
      <c r="D362" s="37">
        <v>1</v>
      </c>
      <c r="E362" s="46">
        <f>40*E355</f>
        <v>40</v>
      </c>
      <c r="F362" s="27">
        <f t="shared" si="251"/>
        <v>0</v>
      </c>
      <c r="G362" s="27"/>
      <c r="H362" s="90"/>
      <c r="I362" s="27">
        <f t="shared" si="252"/>
        <v>0</v>
      </c>
      <c r="J362" s="27"/>
      <c r="K362" s="27">
        <f t="shared" si="253"/>
        <v>0</v>
      </c>
      <c r="L362" s="30" t="s">
        <v>11</v>
      </c>
      <c r="N362" s="4"/>
    </row>
    <row r="363" spans="1:14" ht="25.5" x14ac:dyDescent="0.25">
      <c r="A363" s="23" t="str">
        <f>IF(TRIM(E363)&lt;&gt;"",COUNTA($E$10:E363)&amp;"","")</f>
        <v>346</v>
      </c>
      <c r="B363" s="31" t="s">
        <v>61</v>
      </c>
      <c r="C363" s="25" t="s">
        <v>3</v>
      </c>
      <c r="D363" s="37">
        <v>1.03</v>
      </c>
      <c r="E363" s="45">
        <f>ROUND((0.15*0.12*78.5)*8*D363*E355,2)</f>
        <v>11.64</v>
      </c>
      <c r="F363" s="27">
        <f t="shared" si="251"/>
        <v>0</v>
      </c>
      <c r="G363" s="27"/>
      <c r="H363" s="90"/>
      <c r="I363" s="27">
        <f t="shared" si="252"/>
        <v>0</v>
      </c>
      <c r="J363" s="27"/>
      <c r="K363" s="27">
        <f t="shared" si="253"/>
        <v>0</v>
      </c>
      <c r="L363" s="30" t="s">
        <v>11</v>
      </c>
      <c r="N363" s="4"/>
    </row>
    <row r="364" spans="1:14" ht="25.5" x14ac:dyDescent="0.25">
      <c r="A364" s="23" t="str">
        <f>IF(TRIM(E364)&lt;&gt;"",COUNTA($E$10:E364)&amp;"","")</f>
        <v>347</v>
      </c>
      <c r="B364" s="47" t="s">
        <v>96</v>
      </c>
      <c r="C364" s="25" t="s">
        <v>3</v>
      </c>
      <c r="D364" s="37">
        <v>1.03</v>
      </c>
      <c r="E364" s="45">
        <f>ROUND((1.19*0.73*39.25)*1*D364*E355,2)</f>
        <v>35.119999999999997</v>
      </c>
      <c r="F364" s="27">
        <f t="shared" si="251"/>
        <v>0</v>
      </c>
      <c r="G364" s="27"/>
      <c r="H364" s="90"/>
      <c r="I364" s="27">
        <f t="shared" si="252"/>
        <v>0</v>
      </c>
      <c r="J364" s="27"/>
      <c r="K364" s="27">
        <f t="shared" si="253"/>
        <v>0</v>
      </c>
      <c r="L364" s="30" t="s">
        <v>11</v>
      </c>
      <c r="N364" s="4"/>
    </row>
    <row r="365" spans="1:14" ht="25.5" x14ac:dyDescent="0.25">
      <c r="A365" s="23" t="str">
        <f>IF(TRIM(E365)&lt;&gt;"",COUNTA($E$10:E365)&amp;"","")</f>
        <v>348</v>
      </c>
      <c r="B365" s="31" t="s">
        <v>97</v>
      </c>
      <c r="C365" s="25" t="s">
        <v>3</v>
      </c>
      <c r="D365" s="37">
        <v>1.03</v>
      </c>
      <c r="E365" s="45">
        <f>ROUND((1.19*4.81)*2*D365*E355,2)</f>
        <v>11.79</v>
      </c>
      <c r="F365" s="27">
        <f t="shared" si="251"/>
        <v>0</v>
      </c>
      <c r="G365" s="27"/>
      <c r="H365" s="90"/>
      <c r="I365" s="27">
        <f t="shared" si="252"/>
        <v>0</v>
      </c>
      <c r="J365" s="27"/>
      <c r="K365" s="27">
        <f t="shared" si="253"/>
        <v>0</v>
      </c>
      <c r="L365" s="30" t="s">
        <v>11</v>
      </c>
      <c r="N365" s="4"/>
    </row>
    <row r="366" spans="1:14" ht="25.5" x14ac:dyDescent="0.25">
      <c r="A366" s="23" t="str">
        <f>IF(TRIM(E366)&lt;&gt;"",COUNTA($E$10:E366)&amp;"","")</f>
        <v>349</v>
      </c>
      <c r="B366" s="31" t="s">
        <v>62</v>
      </c>
      <c r="C366" s="25" t="s">
        <v>3</v>
      </c>
      <c r="D366" s="37">
        <v>1.03</v>
      </c>
      <c r="E366" s="45">
        <f>ROUND((0.73*4.81)*2*D366*E355,2)</f>
        <v>7.23</v>
      </c>
      <c r="F366" s="27">
        <f t="shared" si="251"/>
        <v>0</v>
      </c>
      <c r="G366" s="27"/>
      <c r="H366" s="90"/>
      <c r="I366" s="27">
        <f t="shared" si="252"/>
        <v>0</v>
      </c>
      <c r="J366" s="27"/>
      <c r="K366" s="27">
        <f t="shared" si="253"/>
        <v>0</v>
      </c>
      <c r="L366" s="30" t="s">
        <v>11</v>
      </c>
      <c r="N366" s="4"/>
    </row>
    <row r="367" spans="1:14" ht="25.5" x14ac:dyDescent="0.25">
      <c r="A367" s="23" t="str">
        <f>IF(TRIM(E367)&lt;&gt;"",COUNTA($E$10:E367)&amp;"","")</f>
        <v>350</v>
      </c>
      <c r="B367" s="31" t="s">
        <v>98</v>
      </c>
      <c r="C367" s="25" t="s">
        <v>3</v>
      </c>
      <c r="D367" s="37">
        <v>1.03</v>
      </c>
      <c r="E367" s="45">
        <f>ROUND((0.29*4.81)*2*D367*E355,2)</f>
        <v>2.87</v>
      </c>
      <c r="F367" s="27">
        <f t="shared" si="251"/>
        <v>0</v>
      </c>
      <c r="G367" s="27"/>
      <c r="H367" s="90"/>
      <c r="I367" s="27">
        <f t="shared" si="252"/>
        <v>0</v>
      </c>
      <c r="J367" s="27"/>
      <c r="K367" s="27">
        <f t="shared" si="253"/>
        <v>0</v>
      </c>
      <c r="L367" s="30" t="s">
        <v>11</v>
      </c>
      <c r="N367" s="4"/>
    </row>
    <row r="368" spans="1:14" ht="25.5" x14ac:dyDescent="0.25">
      <c r="A368" s="23" t="str">
        <f>IF(TRIM(E368)&lt;&gt;"",COUNTA($E$10:E368)&amp;"","")</f>
        <v>351</v>
      </c>
      <c r="B368" s="43" t="s">
        <v>114</v>
      </c>
      <c r="C368" s="19" t="s">
        <v>1</v>
      </c>
      <c r="D368" s="38"/>
      <c r="E368" s="21">
        <f>(8.7+2.2+1.26+1.1)/2*E355</f>
        <v>6.629999999999999</v>
      </c>
      <c r="F368" s="21">
        <f>G368+H368</f>
        <v>0</v>
      </c>
      <c r="G368" s="89"/>
      <c r="H368" s="21"/>
      <c r="I368" s="21">
        <f>J368+K368</f>
        <v>0</v>
      </c>
      <c r="J368" s="39">
        <f>ROUND(G368*E368,2)</f>
        <v>0</v>
      </c>
      <c r="K368" s="21"/>
      <c r="L368" s="40"/>
      <c r="N368" s="4"/>
    </row>
    <row r="369" spans="1:14" ht="25.5" x14ac:dyDescent="0.25">
      <c r="A369" s="23" t="str">
        <f>IF(TRIM(E369)&lt;&gt;"",COUNTA($E$10:E369)&amp;"","")</f>
        <v>352</v>
      </c>
      <c r="B369" s="31" t="s">
        <v>63</v>
      </c>
      <c r="C369" s="25" t="s">
        <v>3</v>
      </c>
      <c r="D369" s="37">
        <v>0.24</v>
      </c>
      <c r="E369" s="45">
        <f>ROUND((8.7+2.2+1.26+1.1)/2*D369*E355,2)</f>
        <v>1.59</v>
      </c>
      <c r="F369" s="27">
        <f t="shared" ref="F369:F370" si="254">G369+H369</f>
        <v>0</v>
      </c>
      <c r="G369" s="27"/>
      <c r="H369" s="90"/>
      <c r="I369" s="27">
        <f t="shared" ref="I369:I370" si="255">J369+K369</f>
        <v>0</v>
      </c>
      <c r="J369" s="27"/>
      <c r="K369" s="27">
        <f t="shared" ref="K369:K370" si="256">ROUND(H369*E369,2)</f>
        <v>0</v>
      </c>
      <c r="L369" s="30" t="s">
        <v>11</v>
      </c>
      <c r="N369" s="4"/>
    </row>
    <row r="370" spans="1:14" ht="25.5" x14ac:dyDescent="0.25">
      <c r="A370" s="23" t="str">
        <f>IF(TRIM(E370)&lt;&gt;"",COUNTA($E$10:E370)&amp;"","")</f>
        <v>353</v>
      </c>
      <c r="B370" s="31" t="s">
        <v>64</v>
      </c>
      <c r="C370" s="25" t="s">
        <v>3</v>
      </c>
      <c r="D370" s="37">
        <v>0.3</v>
      </c>
      <c r="E370" s="45">
        <f>ROUND((8.7+2.2+1.26+1.1)/2*D370*E355,2)</f>
        <v>1.99</v>
      </c>
      <c r="F370" s="27">
        <f t="shared" si="254"/>
        <v>0</v>
      </c>
      <c r="G370" s="27"/>
      <c r="H370" s="90"/>
      <c r="I370" s="27">
        <f t="shared" si="255"/>
        <v>0</v>
      </c>
      <c r="J370" s="27"/>
      <c r="K370" s="27">
        <f t="shared" si="256"/>
        <v>0</v>
      </c>
      <c r="L370" s="30" t="s">
        <v>11</v>
      </c>
      <c r="N370" s="4"/>
    </row>
    <row r="371" spans="1:14" x14ac:dyDescent="0.25">
      <c r="A371" s="23" t="str">
        <f>IF(TRIM(E371)&lt;&gt;"",COUNTA($E$10:E371)&amp;"","")</f>
        <v>354</v>
      </c>
      <c r="B371" s="18" t="s">
        <v>123</v>
      </c>
      <c r="C371" s="19" t="s">
        <v>23</v>
      </c>
      <c r="D371" s="20"/>
      <c r="E371" s="21">
        <f>12.3+75.19+55.56+19.46</f>
        <v>162.51000000000002</v>
      </c>
      <c r="F371" s="21">
        <f>G371+H371</f>
        <v>0</v>
      </c>
      <c r="G371" s="89"/>
      <c r="H371" s="21"/>
      <c r="I371" s="21">
        <f>J371+K371</f>
        <v>0</v>
      </c>
      <c r="J371" s="39">
        <f>ROUND(G371*E371,2)</f>
        <v>0</v>
      </c>
      <c r="K371" s="21"/>
      <c r="L371" s="22"/>
      <c r="N371" s="4"/>
    </row>
    <row r="372" spans="1:14" ht="25.5" x14ac:dyDescent="0.25">
      <c r="A372" s="23" t="str">
        <f>IF(TRIM(E372)&lt;&gt;"",COUNTA($E$10:E372)&amp;"","")</f>
        <v>355</v>
      </c>
      <c r="B372" s="24" t="s">
        <v>25</v>
      </c>
      <c r="C372" s="26" t="s">
        <v>0</v>
      </c>
      <c r="D372" s="26">
        <v>5</v>
      </c>
      <c r="E372" s="41">
        <f>ROUND(E371*D372,0)</f>
        <v>813</v>
      </c>
      <c r="F372" s="27">
        <f t="shared" ref="F372:F381" si="257">G372+H372</f>
        <v>0</v>
      </c>
      <c r="G372" s="27"/>
      <c r="H372" s="90"/>
      <c r="I372" s="27">
        <f t="shared" ref="I372:I381" si="258">J372+K372</f>
        <v>0</v>
      </c>
      <c r="J372" s="27"/>
      <c r="K372" s="27">
        <f t="shared" ref="K372:K381" si="259">ROUND(H372*E372,2)</f>
        <v>0</v>
      </c>
      <c r="L372" s="26" t="s">
        <v>11</v>
      </c>
      <c r="N372" s="4"/>
    </row>
    <row r="373" spans="1:14" ht="25.5" x14ac:dyDescent="0.25">
      <c r="A373" s="23" t="str">
        <f>IF(TRIM(E373)&lt;&gt;"",COUNTA($E$10:E373)&amp;"","")</f>
        <v>356</v>
      </c>
      <c r="B373" s="24" t="s">
        <v>99</v>
      </c>
      <c r="C373" s="25" t="s">
        <v>23</v>
      </c>
      <c r="D373" s="26">
        <v>1.1000000000000001</v>
      </c>
      <c r="E373" s="27">
        <f>12.3*D373</f>
        <v>13.530000000000001</v>
      </c>
      <c r="F373" s="27">
        <f t="shared" si="257"/>
        <v>0</v>
      </c>
      <c r="G373" s="27"/>
      <c r="H373" s="90"/>
      <c r="I373" s="27">
        <f t="shared" si="258"/>
        <v>0</v>
      </c>
      <c r="J373" s="27"/>
      <c r="K373" s="27">
        <f t="shared" si="259"/>
        <v>0</v>
      </c>
      <c r="L373" s="28" t="s">
        <v>11</v>
      </c>
      <c r="N373" s="4"/>
    </row>
    <row r="374" spans="1:14" ht="25.5" x14ac:dyDescent="0.25">
      <c r="A374" s="23" t="str">
        <f>IF(TRIM(E374)&lt;&gt;"",COUNTA($E$10:E374)&amp;"","")</f>
        <v>357</v>
      </c>
      <c r="B374" s="24" t="s">
        <v>100</v>
      </c>
      <c r="C374" s="25" t="s">
        <v>23</v>
      </c>
      <c r="D374" s="26">
        <v>1.1000000000000001</v>
      </c>
      <c r="E374" s="27">
        <f>75.19*D374</f>
        <v>82.709000000000003</v>
      </c>
      <c r="F374" s="27">
        <f t="shared" si="257"/>
        <v>0</v>
      </c>
      <c r="G374" s="27"/>
      <c r="H374" s="90"/>
      <c r="I374" s="27">
        <f t="shared" si="258"/>
        <v>0</v>
      </c>
      <c r="J374" s="27"/>
      <c r="K374" s="27">
        <f t="shared" si="259"/>
        <v>0</v>
      </c>
      <c r="L374" s="28" t="s">
        <v>11</v>
      </c>
      <c r="N374" s="4"/>
    </row>
    <row r="375" spans="1:14" ht="25.5" x14ac:dyDescent="0.25">
      <c r="A375" s="23" t="str">
        <f>IF(TRIM(E375)&lt;&gt;"",COUNTA($E$10:E375)&amp;"","")</f>
        <v>358</v>
      </c>
      <c r="B375" s="24" t="s">
        <v>103</v>
      </c>
      <c r="C375" s="25" t="s">
        <v>23</v>
      </c>
      <c r="D375" s="26">
        <v>1.1000000000000001</v>
      </c>
      <c r="E375" s="27">
        <f>55.56*D375</f>
        <v>61.116000000000007</v>
      </c>
      <c r="F375" s="27">
        <f t="shared" si="257"/>
        <v>0</v>
      </c>
      <c r="G375" s="27"/>
      <c r="H375" s="90"/>
      <c r="I375" s="27">
        <f t="shared" si="258"/>
        <v>0</v>
      </c>
      <c r="J375" s="27"/>
      <c r="K375" s="27">
        <f t="shared" si="259"/>
        <v>0</v>
      </c>
      <c r="L375" s="28" t="s">
        <v>11</v>
      </c>
      <c r="N375" s="4"/>
    </row>
    <row r="376" spans="1:14" ht="25.5" x14ac:dyDescent="0.25">
      <c r="A376" s="23" t="str">
        <f>IF(TRIM(E376)&lt;&gt;"",COUNTA($E$10:E376)&amp;"","")</f>
        <v>359</v>
      </c>
      <c r="B376" s="24" t="s">
        <v>112</v>
      </c>
      <c r="C376" s="25" t="s">
        <v>23</v>
      </c>
      <c r="D376" s="26">
        <v>1.1000000000000001</v>
      </c>
      <c r="E376" s="27">
        <f>19.46*D376</f>
        <v>21.406000000000002</v>
      </c>
      <c r="F376" s="27">
        <f t="shared" si="257"/>
        <v>0</v>
      </c>
      <c r="G376" s="27"/>
      <c r="H376" s="90"/>
      <c r="I376" s="27">
        <f t="shared" si="258"/>
        <v>0</v>
      </c>
      <c r="J376" s="27"/>
      <c r="K376" s="27">
        <f t="shared" si="259"/>
        <v>0</v>
      </c>
      <c r="L376" s="28" t="s">
        <v>11</v>
      </c>
      <c r="N376" s="4"/>
    </row>
    <row r="377" spans="1:14" ht="25.5" x14ac:dyDescent="0.25">
      <c r="A377" s="23" t="str">
        <f>IF(TRIM(E377)&lt;&gt;"",COUNTA($E$10:E377)&amp;"","")</f>
        <v>360</v>
      </c>
      <c r="B377" s="24" t="s">
        <v>105</v>
      </c>
      <c r="C377" s="25" t="s">
        <v>0</v>
      </c>
      <c r="D377" s="26">
        <v>1</v>
      </c>
      <c r="E377" s="27">
        <v>20</v>
      </c>
      <c r="F377" s="27">
        <f t="shared" si="257"/>
        <v>0</v>
      </c>
      <c r="G377" s="27"/>
      <c r="H377" s="90"/>
      <c r="I377" s="27">
        <f t="shared" si="258"/>
        <v>0</v>
      </c>
      <c r="J377" s="27"/>
      <c r="K377" s="27">
        <f t="shared" si="259"/>
        <v>0</v>
      </c>
      <c r="L377" s="30" t="s">
        <v>11</v>
      </c>
      <c r="M377" s="6"/>
      <c r="N377" s="4"/>
    </row>
    <row r="378" spans="1:14" ht="25.5" x14ac:dyDescent="0.25">
      <c r="A378" s="23" t="str">
        <f>IF(TRIM(E378)&lt;&gt;"",COUNTA($E$10:E378)&amp;"","")</f>
        <v>361</v>
      </c>
      <c r="B378" s="24" t="s">
        <v>106</v>
      </c>
      <c r="C378" s="25" t="s">
        <v>0</v>
      </c>
      <c r="D378" s="26">
        <v>1</v>
      </c>
      <c r="E378" s="27">
        <v>117</v>
      </c>
      <c r="F378" s="27">
        <f t="shared" si="257"/>
        <v>0</v>
      </c>
      <c r="G378" s="27"/>
      <c r="H378" s="90"/>
      <c r="I378" s="27">
        <f t="shared" si="258"/>
        <v>0</v>
      </c>
      <c r="J378" s="27"/>
      <c r="K378" s="27">
        <f t="shared" si="259"/>
        <v>0</v>
      </c>
      <c r="L378" s="30" t="s">
        <v>11</v>
      </c>
      <c r="M378" s="6"/>
      <c r="N378" s="4"/>
    </row>
    <row r="379" spans="1:14" ht="25.5" x14ac:dyDescent="0.25">
      <c r="A379" s="23" t="str">
        <f>IF(TRIM(E379)&lt;&gt;"",COUNTA($E$10:E379)&amp;"","")</f>
        <v>362</v>
      </c>
      <c r="B379" s="24" t="s">
        <v>109</v>
      </c>
      <c r="C379" s="25" t="s">
        <v>0</v>
      </c>
      <c r="D379" s="26">
        <v>1</v>
      </c>
      <c r="E379" s="27">
        <v>102</v>
      </c>
      <c r="F379" s="27">
        <f t="shared" si="257"/>
        <v>0</v>
      </c>
      <c r="G379" s="27"/>
      <c r="H379" s="90"/>
      <c r="I379" s="27">
        <f t="shared" si="258"/>
        <v>0</v>
      </c>
      <c r="J379" s="27"/>
      <c r="K379" s="27">
        <f t="shared" si="259"/>
        <v>0</v>
      </c>
      <c r="L379" s="30" t="s">
        <v>11</v>
      </c>
      <c r="M379" s="6"/>
      <c r="N379" s="4"/>
    </row>
    <row r="380" spans="1:14" ht="25.5" x14ac:dyDescent="0.25">
      <c r="A380" s="23" t="str">
        <f>IF(TRIM(E380)&lt;&gt;"",COUNTA($E$10:E380)&amp;"","")</f>
        <v>363</v>
      </c>
      <c r="B380" s="24" t="s">
        <v>111</v>
      </c>
      <c r="C380" s="25" t="s">
        <v>0</v>
      </c>
      <c r="D380" s="26">
        <v>1</v>
      </c>
      <c r="E380" s="27">
        <v>3</v>
      </c>
      <c r="F380" s="27">
        <f t="shared" si="257"/>
        <v>0</v>
      </c>
      <c r="G380" s="27"/>
      <c r="H380" s="90"/>
      <c r="I380" s="27">
        <f t="shared" si="258"/>
        <v>0</v>
      </c>
      <c r="J380" s="27"/>
      <c r="K380" s="27">
        <f t="shared" si="259"/>
        <v>0</v>
      </c>
      <c r="L380" s="30" t="s">
        <v>11</v>
      </c>
      <c r="M380" s="6"/>
      <c r="N380" s="4"/>
    </row>
    <row r="381" spans="1:14" ht="25.5" x14ac:dyDescent="0.25">
      <c r="A381" s="23" t="str">
        <f>IF(TRIM(E381)&lt;&gt;"",COUNTA($E$10:E381)&amp;"","")</f>
        <v>364</v>
      </c>
      <c r="B381" s="24" t="s">
        <v>21</v>
      </c>
      <c r="C381" s="25" t="s">
        <v>22</v>
      </c>
      <c r="D381" s="34">
        <v>1.0149999999999999</v>
      </c>
      <c r="E381" s="27">
        <f>(E371)*0.48*((0.05+0.093)/2)*D381</f>
        <v>5.6610033480000004</v>
      </c>
      <c r="F381" s="27">
        <f t="shared" si="257"/>
        <v>0</v>
      </c>
      <c r="G381" s="27"/>
      <c r="H381" s="90"/>
      <c r="I381" s="27">
        <f t="shared" si="258"/>
        <v>0</v>
      </c>
      <c r="J381" s="27"/>
      <c r="K381" s="27">
        <f t="shared" si="259"/>
        <v>0</v>
      </c>
      <c r="L381" s="30" t="s">
        <v>11</v>
      </c>
      <c r="N381" s="4"/>
    </row>
    <row r="382" spans="1:14" x14ac:dyDescent="0.25">
      <c r="A382" s="23" t="str">
        <f>IF(TRIM(E382)&lt;&gt;"",COUNTA($E$10:E382)&amp;"","")</f>
        <v>365</v>
      </c>
      <c r="B382" s="18" t="s">
        <v>53</v>
      </c>
      <c r="C382" s="19" t="s">
        <v>23</v>
      </c>
      <c r="D382" s="20"/>
      <c r="E382" s="21">
        <f>1.61</f>
        <v>1.61</v>
      </c>
      <c r="F382" s="21">
        <f>G382+H382</f>
        <v>0</v>
      </c>
      <c r="G382" s="89"/>
      <c r="H382" s="21"/>
      <c r="I382" s="21">
        <f>J382+K382</f>
        <v>0</v>
      </c>
      <c r="J382" s="39">
        <f>ROUND(G382*E382,2)</f>
        <v>0</v>
      </c>
      <c r="K382" s="21"/>
      <c r="L382" s="22"/>
      <c r="N382" s="4"/>
    </row>
    <row r="383" spans="1:14" ht="25.5" x14ac:dyDescent="0.25">
      <c r="A383" s="23" t="str">
        <f>IF(TRIM(E383)&lt;&gt;"",COUNTA($E$10:E383)&amp;"","")</f>
        <v>366</v>
      </c>
      <c r="B383" s="24" t="s">
        <v>25</v>
      </c>
      <c r="C383" s="26" t="s">
        <v>0</v>
      </c>
      <c r="D383" s="26">
        <v>5</v>
      </c>
      <c r="E383" s="41">
        <f>ROUND(E382*D383,0)</f>
        <v>8</v>
      </c>
      <c r="F383" s="27">
        <f t="shared" ref="F383:F384" si="260">G383+H383</f>
        <v>0</v>
      </c>
      <c r="G383" s="27"/>
      <c r="H383" s="90"/>
      <c r="I383" s="27">
        <f t="shared" ref="I383:I384" si="261">J383+K383</f>
        <v>0</v>
      </c>
      <c r="J383" s="27"/>
      <c r="K383" s="27">
        <f t="shared" ref="K383:K384" si="262">ROUND(H383*E383,2)</f>
        <v>0</v>
      </c>
      <c r="L383" s="26" t="s">
        <v>11</v>
      </c>
      <c r="N383" s="4"/>
    </row>
    <row r="384" spans="1:14" ht="25.5" x14ac:dyDescent="0.25">
      <c r="A384" s="23" t="str">
        <f>IF(TRIM(E384)&lt;&gt;"",COUNTA($E$10:E384)&amp;"","")</f>
        <v>367</v>
      </c>
      <c r="B384" s="24" t="s">
        <v>113</v>
      </c>
      <c r="C384" s="25" t="s">
        <v>23</v>
      </c>
      <c r="D384" s="26">
        <v>1.1000000000000001</v>
      </c>
      <c r="E384" s="27">
        <f>E382*D384</f>
        <v>1.7710000000000004</v>
      </c>
      <c r="F384" s="27">
        <f t="shared" si="260"/>
        <v>0</v>
      </c>
      <c r="G384" s="27"/>
      <c r="H384" s="90"/>
      <c r="I384" s="27">
        <f t="shared" si="261"/>
        <v>0</v>
      </c>
      <c r="J384" s="27"/>
      <c r="K384" s="27">
        <f t="shared" si="262"/>
        <v>0</v>
      </c>
      <c r="L384" s="28" t="s">
        <v>11</v>
      </c>
      <c r="N384" s="4"/>
    </row>
    <row r="385" spans="1:14" ht="51" x14ac:dyDescent="0.25">
      <c r="A385" s="23" t="str">
        <f>IF(TRIM(E385)&lt;&gt;"",COUNTA($E$10:E385)&amp;"","")</f>
        <v>368</v>
      </c>
      <c r="B385" s="42" t="s">
        <v>124</v>
      </c>
      <c r="C385" s="19" t="s">
        <v>0</v>
      </c>
      <c r="D385" s="20"/>
      <c r="E385" s="21">
        <f>SUM(E386:E388)</f>
        <v>7</v>
      </c>
      <c r="F385" s="21">
        <f>G385+H385</f>
        <v>0</v>
      </c>
      <c r="G385" s="89"/>
      <c r="H385" s="21"/>
      <c r="I385" s="21">
        <f>J385+K385</f>
        <v>0</v>
      </c>
      <c r="J385" s="39">
        <f>ROUND(G385*E385,2)</f>
        <v>0</v>
      </c>
      <c r="K385" s="21"/>
      <c r="L385" s="22"/>
      <c r="N385" s="4"/>
    </row>
    <row r="386" spans="1:14" s="5" customFormat="1" ht="25.5" x14ac:dyDescent="0.25">
      <c r="A386" s="81" t="str">
        <f>IF(TRIM(E386)&lt;&gt;"",COUNTA($E$10:E386)&amp;"","")</f>
        <v>369</v>
      </c>
      <c r="B386" s="82" t="s">
        <v>177</v>
      </c>
      <c r="C386" s="83" t="s">
        <v>0</v>
      </c>
      <c r="D386" s="84">
        <v>1</v>
      </c>
      <c r="E386" s="35">
        <v>1</v>
      </c>
      <c r="F386" s="27">
        <f t="shared" ref="F386:F388" si="263">G386+H386</f>
        <v>0</v>
      </c>
      <c r="G386" s="27"/>
      <c r="H386" s="90"/>
      <c r="I386" s="27">
        <f t="shared" ref="I386:I388" si="264">J386+K386</f>
        <v>0</v>
      </c>
      <c r="J386" s="27"/>
      <c r="K386" s="27">
        <f t="shared" ref="K386:K388" si="265">ROUND(H386*E386,2)</f>
        <v>0</v>
      </c>
      <c r="L386" s="85" t="s">
        <v>11</v>
      </c>
      <c r="N386" s="86"/>
    </row>
    <row r="387" spans="1:14" ht="25.5" x14ac:dyDescent="0.25">
      <c r="A387" s="23" t="str">
        <f>IF(TRIM(E387)&lt;&gt;"",COUNTA($E$10:E387)&amp;"","")</f>
        <v>370</v>
      </c>
      <c r="B387" s="24" t="s">
        <v>178</v>
      </c>
      <c r="C387" s="25" t="s">
        <v>0</v>
      </c>
      <c r="D387" s="26">
        <v>1</v>
      </c>
      <c r="E387" s="27">
        <v>4</v>
      </c>
      <c r="F387" s="27">
        <f t="shared" si="263"/>
        <v>0</v>
      </c>
      <c r="G387" s="27"/>
      <c r="H387" s="90"/>
      <c r="I387" s="27">
        <f t="shared" si="264"/>
        <v>0</v>
      </c>
      <c r="J387" s="27"/>
      <c r="K387" s="27">
        <f t="shared" si="265"/>
        <v>0</v>
      </c>
      <c r="L387" s="28" t="s">
        <v>11</v>
      </c>
      <c r="N387" s="4"/>
    </row>
    <row r="388" spans="1:14" ht="25.5" x14ac:dyDescent="0.25">
      <c r="A388" s="23" t="str">
        <f>IF(TRIM(E388)&lt;&gt;"",COUNTA($E$10:E388)&amp;"","")</f>
        <v>371</v>
      </c>
      <c r="B388" s="24" t="s">
        <v>191</v>
      </c>
      <c r="C388" s="25" t="s">
        <v>0</v>
      </c>
      <c r="D388" s="26">
        <v>1</v>
      </c>
      <c r="E388" s="27">
        <v>2</v>
      </c>
      <c r="F388" s="27">
        <f t="shared" si="263"/>
        <v>0</v>
      </c>
      <c r="G388" s="27"/>
      <c r="H388" s="90"/>
      <c r="I388" s="27">
        <f t="shared" si="264"/>
        <v>0</v>
      </c>
      <c r="J388" s="27"/>
      <c r="K388" s="27">
        <f t="shared" si="265"/>
        <v>0</v>
      </c>
      <c r="L388" s="28" t="s">
        <v>11</v>
      </c>
      <c r="N388" s="4"/>
    </row>
    <row r="389" spans="1:14" ht="51" x14ac:dyDescent="0.25">
      <c r="A389" s="23" t="str">
        <f>IF(TRIM(E389)&lt;&gt;"",COUNTA($E$10:E389)&amp;"","")</f>
        <v>372</v>
      </c>
      <c r="B389" s="18" t="s">
        <v>141</v>
      </c>
      <c r="C389" s="19" t="s">
        <v>0</v>
      </c>
      <c r="D389" s="20"/>
      <c r="E389" s="21">
        <f>SUM(E390:E390)</f>
        <v>2</v>
      </c>
      <c r="F389" s="21">
        <f>G389+H389</f>
        <v>0</v>
      </c>
      <c r="G389" s="89"/>
      <c r="H389" s="21"/>
      <c r="I389" s="21">
        <f>J389+K389</f>
        <v>0</v>
      </c>
      <c r="J389" s="39">
        <f>ROUND(G389*E389,2)</f>
        <v>0</v>
      </c>
      <c r="K389" s="21"/>
      <c r="L389" s="22"/>
      <c r="N389" s="4"/>
    </row>
    <row r="390" spans="1:14" ht="25.5" x14ac:dyDescent="0.25">
      <c r="A390" s="23" t="str">
        <f>IF(TRIM(E390)&lt;&gt;"",COUNTA($E$10:E390)&amp;"","")</f>
        <v>373</v>
      </c>
      <c r="B390" s="24" t="s">
        <v>196</v>
      </c>
      <c r="C390" s="25" t="s">
        <v>0</v>
      </c>
      <c r="D390" s="26">
        <v>1</v>
      </c>
      <c r="E390" s="27">
        <v>2</v>
      </c>
      <c r="F390" s="27">
        <f t="shared" ref="F390" si="266">G390+H390</f>
        <v>0</v>
      </c>
      <c r="G390" s="27"/>
      <c r="H390" s="90"/>
      <c r="I390" s="27">
        <f t="shared" ref="I390" si="267">J390+K390</f>
        <v>0</v>
      </c>
      <c r="J390" s="27"/>
      <c r="K390" s="27">
        <f>ROUND(H390*E390,2)</f>
        <v>0</v>
      </c>
      <c r="L390" s="28" t="s">
        <v>11</v>
      </c>
      <c r="N390" s="4"/>
    </row>
    <row r="391" spans="1:14" ht="51" x14ac:dyDescent="0.25">
      <c r="A391" s="23" t="str">
        <f>IF(TRIM(E391)&lt;&gt;"",COUNTA($E$10:E391)&amp;"","")</f>
        <v>374</v>
      </c>
      <c r="B391" s="18" t="s">
        <v>156</v>
      </c>
      <c r="C391" s="19" t="s">
        <v>0</v>
      </c>
      <c r="D391" s="20"/>
      <c r="E391" s="21">
        <f>E392+E393</f>
        <v>4</v>
      </c>
      <c r="F391" s="21">
        <f>G391+H391</f>
        <v>0</v>
      </c>
      <c r="G391" s="89"/>
      <c r="H391" s="21"/>
      <c r="I391" s="21">
        <f>J391+K391</f>
        <v>0</v>
      </c>
      <c r="J391" s="39">
        <f>ROUND(G391*E391,2)</f>
        <v>0</v>
      </c>
      <c r="K391" s="21"/>
      <c r="L391" s="22"/>
      <c r="N391" s="4"/>
    </row>
    <row r="392" spans="1:14" ht="25.5" x14ac:dyDescent="0.25">
      <c r="A392" s="23" t="str">
        <f>IF(TRIM(E392)&lt;&gt;"",COUNTA($E$10:E392)&amp;"","")</f>
        <v>375</v>
      </c>
      <c r="B392" s="24" t="s">
        <v>168</v>
      </c>
      <c r="C392" s="25" t="s">
        <v>0</v>
      </c>
      <c r="D392" s="26">
        <v>1</v>
      </c>
      <c r="E392" s="27">
        <v>2</v>
      </c>
      <c r="F392" s="27">
        <f t="shared" ref="F392:F393" si="268">G392+H392</f>
        <v>0</v>
      </c>
      <c r="G392" s="27"/>
      <c r="H392" s="90"/>
      <c r="I392" s="27">
        <f t="shared" ref="I392:I393" si="269">J392+K392</f>
        <v>0</v>
      </c>
      <c r="J392" s="27"/>
      <c r="K392" s="27">
        <f t="shared" ref="K392:K393" si="270">ROUND(H392*E392,2)</f>
        <v>0</v>
      </c>
      <c r="L392" s="28" t="s">
        <v>11</v>
      </c>
      <c r="N392" s="4"/>
    </row>
    <row r="393" spans="1:14" ht="25.5" x14ac:dyDescent="0.25">
      <c r="A393" s="23" t="str">
        <f>IF(TRIM(E393)&lt;&gt;"",COUNTA($E$10:E393)&amp;"","")</f>
        <v>376</v>
      </c>
      <c r="B393" s="24" t="s">
        <v>197</v>
      </c>
      <c r="C393" s="25" t="s">
        <v>0</v>
      </c>
      <c r="D393" s="26">
        <v>1</v>
      </c>
      <c r="E393" s="27">
        <v>2</v>
      </c>
      <c r="F393" s="27">
        <f t="shared" si="268"/>
        <v>0</v>
      </c>
      <c r="G393" s="27"/>
      <c r="H393" s="90"/>
      <c r="I393" s="27">
        <f t="shared" si="269"/>
        <v>0</v>
      </c>
      <c r="J393" s="27"/>
      <c r="K393" s="27">
        <f t="shared" si="270"/>
        <v>0</v>
      </c>
      <c r="L393" s="28" t="s">
        <v>11</v>
      </c>
      <c r="N393" s="4"/>
    </row>
    <row r="394" spans="1:14" ht="25.5" x14ac:dyDescent="0.25">
      <c r="A394" s="23" t="str">
        <f>IF(TRIM(E394)&lt;&gt;"",COUNTA($E$10:E394)&amp;"","")</f>
        <v>377</v>
      </c>
      <c r="B394" s="18" t="s">
        <v>157</v>
      </c>
      <c r="C394" s="76" t="s">
        <v>23</v>
      </c>
      <c r="D394" s="20"/>
      <c r="E394" s="21">
        <v>16.28</v>
      </c>
      <c r="F394" s="21">
        <f>G394+H394</f>
        <v>0</v>
      </c>
      <c r="G394" s="89"/>
      <c r="H394" s="21"/>
      <c r="I394" s="21">
        <f>J394+K394</f>
        <v>0</v>
      </c>
      <c r="J394" s="39">
        <f>ROUND(G394*E394,2)</f>
        <v>0</v>
      </c>
      <c r="K394" s="21"/>
      <c r="L394" s="22"/>
      <c r="N394" s="4"/>
    </row>
    <row r="395" spans="1:14" ht="25.5" x14ac:dyDescent="0.25">
      <c r="A395" s="23" t="str">
        <f>IF(TRIM(E395)&lt;&gt;"",COUNTA($E$10:E395)&amp;"","")</f>
        <v>378</v>
      </c>
      <c r="B395" s="24" t="s">
        <v>25</v>
      </c>
      <c r="C395" s="26" t="s">
        <v>0</v>
      </c>
      <c r="D395" s="26">
        <v>5</v>
      </c>
      <c r="E395" s="41">
        <f>ROUND(E394*D395,0)</f>
        <v>81</v>
      </c>
      <c r="F395" s="27">
        <f t="shared" ref="F395:F404" si="271">G395+H395</f>
        <v>0</v>
      </c>
      <c r="G395" s="27"/>
      <c r="H395" s="90"/>
      <c r="I395" s="27">
        <f t="shared" ref="I395:I404" si="272">J395+K395</f>
        <v>0</v>
      </c>
      <c r="J395" s="27"/>
      <c r="K395" s="27">
        <f t="shared" ref="K395:K404" si="273">ROUND(H395*E395,2)</f>
        <v>0</v>
      </c>
      <c r="L395" s="26" t="s">
        <v>11</v>
      </c>
      <c r="N395" s="4"/>
    </row>
    <row r="396" spans="1:14" ht="25.5" x14ac:dyDescent="0.25">
      <c r="A396" s="23" t="str">
        <f>IF(TRIM(E396)&lt;&gt;"",COUNTA($E$10:E396)&amp;"","")</f>
        <v>379</v>
      </c>
      <c r="B396" s="24" t="s">
        <v>159</v>
      </c>
      <c r="C396" s="25" t="s">
        <v>1</v>
      </c>
      <c r="D396" s="26">
        <v>1.1399999999999999</v>
      </c>
      <c r="E396" s="27">
        <f>E394*(0.7+0.2)*D396</f>
        <v>16.703279999999999</v>
      </c>
      <c r="F396" s="27">
        <f t="shared" si="271"/>
        <v>0</v>
      </c>
      <c r="G396" s="27"/>
      <c r="H396" s="90"/>
      <c r="I396" s="27">
        <f t="shared" si="272"/>
        <v>0</v>
      </c>
      <c r="J396" s="27"/>
      <c r="K396" s="27">
        <f t="shared" si="273"/>
        <v>0</v>
      </c>
      <c r="L396" s="30" t="s">
        <v>11</v>
      </c>
      <c r="N396" s="4"/>
    </row>
    <row r="397" spans="1:14" ht="25.5" x14ac:dyDescent="0.25">
      <c r="A397" s="23" t="str">
        <f>IF(TRIM(E397)&lt;&gt;"",COUNTA($E$10:E397)&amp;"","")</f>
        <v>380</v>
      </c>
      <c r="B397" s="24" t="s">
        <v>161</v>
      </c>
      <c r="C397" s="25" t="s">
        <v>1</v>
      </c>
      <c r="D397" s="26">
        <v>1.1399999999999999</v>
      </c>
      <c r="E397" s="27">
        <f>E394*0.7*D397</f>
        <v>12.991439999999999</v>
      </c>
      <c r="F397" s="27">
        <f t="shared" si="271"/>
        <v>0</v>
      </c>
      <c r="G397" s="27"/>
      <c r="H397" s="90"/>
      <c r="I397" s="27">
        <f t="shared" si="272"/>
        <v>0</v>
      </c>
      <c r="J397" s="27"/>
      <c r="K397" s="27">
        <f t="shared" si="273"/>
        <v>0</v>
      </c>
      <c r="L397" s="30" t="s">
        <v>11</v>
      </c>
      <c r="N397" s="4"/>
    </row>
    <row r="398" spans="1:14" ht="25.5" x14ac:dyDescent="0.25">
      <c r="A398" s="23" t="str">
        <f>IF(TRIM(E398)&lt;&gt;"",COUNTA($E$10:E398)&amp;"","")</f>
        <v>381</v>
      </c>
      <c r="B398" s="24" t="s">
        <v>160</v>
      </c>
      <c r="C398" s="25" t="s">
        <v>1</v>
      </c>
      <c r="D398" s="26">
        <v>1.1399999999999999</v>
      </c>
      <c r="E398" s="27">
        <f>E394*1.8*D398</f>
        <v>33.406559999999999</v>
      </c>
      <c r="F398" s="27">
        <f t="shared" si="271"/>
        <v>0</v>
      </c>
      <c r="G398" s="27"/>
      <c r="H398" s="90"/>
      <c r="I398" s="27">
        <f t="shared" si="272"/>
        <v>0</v>
      </c>
      <c r="J398" s="27"/>
      <c r="K398" s="27">
        <f t="shared" si="273"/>
        <v>0</v>
      </c>
      <c r="L398" s="30" t="s">
        <v>11</v>
      </c>
      <c r="N398" s="4"/>
    </row>
    <row r="399" spans="1:14" ht="25.5" x14ac:dyDescent="0.25">
      <c r="A399" s="23" t="str">
        <f>IF(TRIM(E399)&lt;&gt;"",COUNTA($E$10:E399)&amp;"","")</f>
        <v>382</v>
      </c>
      <c r="B399" s="24" t="s">
        <v>162</v>
      </c>
      <c r="C399" s="25" t="s">
        <v>22</v>
      </c>
      <c r="D399" s="26">
        <v>1.03</v>
      </c>
      <c r="E399" s="27">
        <f>E394*(0.6*0.3)*D399</f>
        <v>3.0183120000000003</v>
      </c>
      <c r="F399" s="27">
        <f t="shared" si="271"/>
        <v>0</v>
      </c>
      <c r="G399" s="27"/>
      <c r="H399" s="90"/>
      <c r="I399" s="27">
        <f t="shared" si="272"/>
        <v>0</v>
      </c>
      <c r="J399" s="27"/>
      <c r="K399" s="27">
        <f t="shared" si="273"/>
        <v>0</v>
      </c>
      <c r="L399" s="30" t="s">
        <v>11</v>
      </c>
      <c r="N399" s="4"/>
    </row>
    <row r="400" spans="1:14" ht="25.5" x14ac:dyDescent="0.25">
      <c r="A400" s="23" t="str">
        <f>IF(TRIM(E400)&lt;&gt;"",COUNTA($E$10:E400)&amp;"","")</f>
        <v>383</v>
      </c>
      <c r="B400" s="24" t="s">
        <v>158</v>
      </c>
      <c r="C400" s="25" t="s">
        <v>23</v>
      </c>
      <c r="D400" s="26">
        <v>1.1000000000000001</v>
      </c>
      <c r="E400" s="27">
        <f>16.28*D400</f>
        <v>17.908000000000001</v>
      </c>
      <c r="F400" s="27">
        <f t="shared" si="271"/>
        <v>0</v>
      </c>
      <c r="G400" s="27"/>
      <c r="H400" s="90"/>
      <c r="I400" s="27">
        <f t="shared" si="272"/>
        <v>0</v>
      </c>
      <c r="J400" s="27"/>
      <c r="K400" s="27">
        <f t="shared" si="273"/>
        <v>0</v>
      </c>
      <c r="L400" s="28" t="s">
        <v>11</v>
      </c>
      <c r="N400" s="4"/>
    </row>
    <row r="401" spans="1:14" ht="25.5" x14ac:dyDescent="0.25">
      <c r="A401" s="23" t="str">
        <f>IF(TRIM(E401)&lt;&gt;"",COUNTA($E$10:E401)&amp;"","")</f>
        <v>384</v>
      </c>
      <c r="B401" s="24" t="s">
        <v>153</v>
      </c>
      <c r="C401" s="25" t="s">
        <v>23</v>
      </c>
      <c r="D401" s="26">
        <v>1.1000000000000001</v>
      </c>
      <c r="E401" s="27">
        <f>16.28*D401</f>
        <v>17.908000000000001</v>
      </c>
      <c r="F401" s="27">
        <f t="shared" si="271"/>
        <v>0</v>
      </c>
      <c r="G401" s="27"/>
      <c r="H401" s="90"/>
      <c r="I401" s="27">
        <f t="shared" si="272"/>
        <v>0</v>
      </c>
      <c r="J401" s="27"/>
      <c r="K401" s="27">
        <f t="shared" si="273"/>
        <v>0</v>
      </c>
      <c r="L401" s="28" t="s">
        <v>11</v>
      </c>
      <c r="N401" s="4"/>
    </row>
    <row r="402" spans="1:14" ht="25.5" x14ac:dyDescent="0.25">
      <c r="A402" s="23" t="str">
        <f>IF(TRIM(E402)&lt;&gt;"",COUNTA($E$10:E402)&amp;"","")</f>
        <v>385</v>
      </c>
      <c r="B402" s="24" t="s">
        <v>154</v>
      </c>
      <c r="C402" s="25" t="s">
        <v>0</v>
      </c>
      <c r="D402" s="26">
        <v>1</v>
      </c>
      <c r="E402" s="27">
        <v>26</v>
      </c>
      <c r="F402" s="27">
        <f t="shared" si="271"/>
        <v>0</v>
      </c>
      <c r="G402" s="27"/>
      <c r="H402" s="90"/>
      <c r="I402" s="27">
        <f t="shared" si="272"/>
        <v>0</v>
      </c>
      <c r="J402" s="27"/>
      <c r="K402" s="27">
        <f t="shared" si="273"/>
        <v>0</v>
      </c>
      <c r="L402" s="30" t="s">
        <v>11</v>
      </c>
      <c r="M402" s="6"/>
      <c r="N402" s="4"/>
    </row>
    <row r="403" spans="1:14" ht="25.5" x14ac:dyDescent="0.25">
      <c r="A403" s="23" t="str">
        <f>IF(TRIM(E403)&lt;&gt;"",COUNTA($E$10:E403)&amp;"","")</f>
        <v>386</v>
      </c>
      <c r="B403" s="24" t="s">
        <v>155</v>
      </c>
      <c r="C403" s="25" t="s">
        <v>0</v>
      </c>
      <c r="D403" s="26">
        <v>1</v>
      </c>
      <c r="E403" s="27">
        <v>26</v>
      </c>
      <c r="F403" s="27">
        <f t="shared" si="271"/>
        <v>0</v>
      </c>
      <c r="G403" s="27"/>
      <c r="H403" s="90"/>
      <c r="I403" s="27">
        <f t="shared" si="272"/>
        <v>0</v>
      </c>
      <c r="J403" s="27"/>
      <c r="K403" s="27">
        <f t="shared" si="273"/>
        <v>0</v>
      </c>
      <c r="L403" s="30" t="s">
        <v>11</v>
      </c>
      <c r="M403" s="6"/>
      <c r="N403" s="4"/>
    </row>
    <row r="404" spans="1:14" ht="25.5" x14ac:dyDescent="0.25">
      <c r="A404" s="23" t="str">
        <f>IF(TRIM(E404)&lt;&gt;"",COUNTA($E$10:E404)&amp;"","")</f>
        <v>387</v>
      </c>
      <c r="B404" s="24" t="s">
        <v>21</v>
      </c>
      <c r="C404" s="25" t="s">
        <v>22</v>
      </c>
      <c r="D404" s="34">
        <v>1.0149999999999999</v>
      </c>
      <c r="E404" s="27">
        <f>(E394)*0.05*0.2*D404</f>
        <v>0.165242</v>
      </c>
      <c r="F404" s="27">
        <f t="shared" si="271"/>
        <v>0</v>
      </c>
      <c r="G404" s="27"/>
      <c r="H404" s="90"/>
      <c r="I404" s="27">
        <f t="shared" si="272"/>
        <v>0</v>
      </c>
      <c r="J404" s="27"/>
      <c r="K404" s="27">
        <f t="shared" si="273"/>
        <v>0</v>
      </c>
      <c r="L404" s="30" t="s">
        <v>11</v>
      </c>
      <c r="N404" s="4"/>
    </row>
    <row r="405" spans="1:14" s="5" customFormat="1" x14ac:dyDescent="0.25">
      <c r="A405" s="14" t="str">
        <f>IF(TRIM(E405)&lt;&gt;"",COUNTA($E$10:E405)&amp;"","")</f>
        <v/>
      </c>
      <c r="B405" s="15" t="s">
        <v>126</v>
      </c>
      <c r="C405" s="16"/>
      <c r="D405" s="17"/>
      <c r="E405" s="17"/>
      <c r="F405" s="17"/>
      <c r="G405" s="17"/>
      <c r="H405" s="17"/>
      <c r="I405" s="17"/>
      <c r="J405" s="17"/>
      <c r="K405" s="17"/>
      <c r="L405" s="16"/>
    </row>
    <row r="406" spans="1:14" ht="25.5" x14ac:dyDescent="0.25">
      <c r="A406" s="23" t="str">
        <f>IF(TRIM(E406)&lt;&gt;"",COUNTA($E$10:E406)&amp;"","")</f>
        <v>388</v>
      </c>
      <c r="B406" s="18" t="s">
        <v>127</v>
      </c>
      <c r="C406" s="19" t="s">
        <v>1</v>
      </c>
      <c r="D406" s="20"/>
      <c r="E406" s="21">
        <f>Расчет!E38</f>
        <v>5</v>
      </c>
      <c r="F406" s="21">
        <f>G406+H406</f>
        <v>0</v>
      </c>
      <c r="G406" s="89"/>
      <c r="H406" s="21"/>
      <c r="I406" s="21">
        <f>J406+K406</f>
        <v>0</v>
      </c>
      <c r="J406" s="39">
        <f>ROUND(G406*E406,2)</f>
        <v>0</v>
      </c>
      <c r="K406" s="21"/>
      <c r="L406" s="22"/>
      <c r="N406" s="4"/>
    </row>
    <row r="407" spans="1:14" ht="25.5" x14ac:dyDescent="0.25">
      <c r="A407" s="23" t="str">
        <f>IF(TRIM(E407)&lt;&gt;"",COUNTA($E$10:E407)&amp;"","")</f>
        <v>389</v>
      </c>
      <c r="B407" s="24" t="s">
        <v>75</v>
      </c>
      <c r="C407" s="25" t="s">
        <v>20</v>
      </c>
      <c r="D407" s="26">
        <v>0.35</v>
      </c>
      <c r="E407" s="27">
        <f>E406*D407</f>
        <v>1.75</v>
      </c>
      <c r="F407" s="27">
        <f t="shared" ref="F407" si="274">G407+H407</f>
        <v>0</v>
      </c>
      <c r="G407" s="27"/>
      <c r="H407" s="90"/>
      <c r="I407" s="27">
        <f t="shared" ref="I407" si="275">J407+K407</f>
        <v>0</v>
      </c>
      <c r="J407" s="27"/>
      <c r="K407" s="27">
        <f>ROUND(H407*E407,2)</f>
        <v>0</v>
      </c>
      <c r="L407" s="28" t="s">
        <v>11</v>
      </c>
      <c r="N407" s="4"/>
    </row>
    <row r="408" spans="1:14" x14ac:dyDescent="0.25">
      <c r="A408" s="23" t="str">
        <f>IF(TRIM(E408)&lt;&gt;"",COUNTA($E$10:E408)&amp;"","")</f>
        <v>390</v>
      </c>
      <c r="B408" s="18" t="s">
        <v>128</v>
      </c>
      <c r="C408" s="19" t="s">
        <v>1</v>
      </c>
      <c r="D408" s="20"/>
      <c r="E408" s="21">
        <f>E406</f>
        <v>5</v>
      </c>
      <c r="F408" s="21">
        <f>G408+H408</f>
        <v>0</v>
      </c>
      <c r="G408" s="89"/>
      <c r="H408" s="21"/>
      <c r="I408" s="21">
        <f>J408+K408</f>
        <v>0</v>
      </c>
      <c r="J408" s="39">
        <f>ROUND(G408*E408,2)</f>
        <v>0</v>
      </c>
      <c r="K408" s="21"/>
      <c r="L408" s="22"/>
      <c r="N408" s="4"/>
    </row>
    <row r="409" spans="1:14" ht="25.5" x14ac:dyDescent="0.25">
      <c r="A409" s="23" t="str">
        <f>IF(TRIM(E409)&lt;&gt;"",COUNTA($E$10:E409)&amp;"","")</f>
        <v>391</v>
      </c>
      <c r="B409" s="29" t="s">
        <v>76</v>
      </c>
      <c r="C409" s="25" t="s">
        <v>1</v>
      </c>
      <c r="D409" s="26">
        <v>1.1499999999999999</v>
      </c>
      <c r="E409" s="27">
        <f>E408*D409</f>
        <v>5.75</v>
      </c>
      <c r="F409" s="27">
        <f t="shared" ref="F409:F410" si="276">G409+H409</f>
        <v>0</v>
      </c>
      <c r="G409" s="27"/>
      <c r="H409" s="90"/>
      <c r="I409" s="27">
        <f t="shared" ref="I409:I410" si="277">J409+K409</f>
        <v>0</v>
      </c>
      <c r="J409" s="27"/>
      <c r="K409" s="27">
        <f t="shared" ref="K409:K410" si="278">ROUND(H409*E409,2)</f>
        <v>0</v>
      </c>
      <c r="L409" s="30" t="s">
        <v>11</v>
      </c>
      <c r="N409" s="4"/>
    </row>
    <row r="410" spans="1:14" ht="25.5" x14ac:dyDescent="0.25">
      <c r="A410" s="23" t="str">
        <f>IF(TRIM(E410)&lt;&gt;"",COUNTA($E$10:E410)&amp;"","")</f>
        <v>392</v>
      </c>
      <c r="B410" s="31" t="s">
        <v>117</v>
      </c>
      <c r="C410" s="32" t="s">
        <v>3</v>
      </c>
      <c r="D410" s="33">
        <v>0.3</v>
      </c>
      <c r="E410" s="27">
        <f>E408*D410</f>
        <v>1.5</v>
      </c>
      <c r="F410" s="27">
        <f t="shared" si="276"/>
        <v>0</v>
      </c>
      <c r="G410" s="27"/>
      <c r="H410" s="90"/>
      <c r="I410" s="27">
        <f t="shared" si="277"/>
        <v>0</v>
      </c>
      <c r="J410" s="27"/>
      <c r="K410" s="27">
        <f t="shared" si="278"/>
        <v>0</v>
      </c>
      <c r="L410" s="30" t="s">
        <v>11</v>
      </c>
      <c r="N410" s="4"/>
    </row>
    <row r="411" spans="1:14" x14ac:dyDescent="0.25">
      <c r="A411" s="23" t="str">
        <f>IF(TRIM(E411)&lt;&gt;"",COUNTA($E$10:E411)&amp;"","")</f>
        <v>393</v>
      </c>
      <c r="B411" s="18" t="s">
        <v>81</v>
      </c>
      <c r="C411" s="19" t="s">
        <v>1</v>
      </c>
      <c r="D411" s="20"/>
      <c r="E411" s="21">
        <f>E406</f>
        <v>5</v>
      </c>
      <c r="F411" s="21">
        <f>G411+H411</f>
        <v>0</v>
      </c>
      <c r="G411" s="89"/>
      <c r="H411" s="21"/>
      <c r="I411" s="21">
        <f>J411+K411</f>
        <v>0</v>
      </c>
      <c r="J411" s="39">
        <f>ROUND(G411*E411,2)</f>
        <v>0</v>
      </c>
      <c r="K411" s="21"/>
      <c r="L411" s="22"/>
      <c r="N411" s="4"/>
    </row>
    <row r="412" spans="1:14" ht="25.5" x14ac:dyDescent="0.25">
      <c r="A412" s="23" t="str">
        <f>IF(TRIM(E412)&lt;&gt;"",COUNTA($E$10:E412)&amp;"","")</f>
        <v>394</v>
      </c>
      <c r="B412" s="29" t="s">
        <v>82</v>
      </c>
      <c r="C412" s="25" t="s">
        <v>22</v>
      </c>
      <c r="D412" s="26">
        <v>1.1000000000000001</v>
      </c>
      <c r="E412" s="27">
        <f>E411*0.03*D412</f>
        <v>0.16500000000000001</v>
      </c>
      <c r="F412" s="27">
        <f t="shared" ref="F412" si="279">G412+H412</f>
        <v>0</v>
      </c>
      <c r="G412" s="27"/>
      <c r="H412" s="90"/>
      <c r="I412" s="27">
        <f t="shared" ref="I412" si="280">J412+K412</f>
        <v>0</v>
      </c>
      <c r="J412" s="27"/>
      <c r="K412" s="27">
        <f>ROUND(H412*E412,2)</f>
        <v>0</v>
      </c>
      <c r="L412" s="30" t="s">
        <v>11</v>
      </c>
      <c r="N412" s="4"/>
    </row>
    <row r="413" spans="1:14" x14ac:dyDescent="0.25">
      <c r="A413" s="23" t="str">
        <f>IF(TRIM(E413)&lt;&gt;"",COUNTA($E$10:E413)&amp;"","")</f>
        <v>395</v>
      </c>
      <c r="B413" s="18" t="s">
        <v>51</v>
      </c>
      <c r="C413" s="19" t="s">
        <v>1</v>
      </c>
      <c r="D413" s="20"/>
      <c r="E413" s="21">
        <f>E411</f>
        <v>5</v>
      </c>
      <c r="F413" s="21">
        <f>G413+H413</f>
        <v>0</v>
      </c>
      <c r="G413" s="89"/>
      <c r="H413" s="21"/>
      <c r="I413" s="21">
        <f>J413+K413</f>
        <v>0</v>
      </c>
      <c r="J413" s="39">
        <f>ROUND(G413*E413,2)</f>
        <v>0</v>
      </c>
      <c r="K413" s="21"/>
      <c r="L413" s="22"/>
      <c r="N413" s="4"/>
    </row>
    <row r="414" spans="1:14" ht="25.5" x14ac:dyDescent="0.25">
      <c r="A414" s="23" t="str">
        <f>IF(TRIM(E414)&lt;&gt;"",COUNTA($E$10:E414)&amp;"","")</f>
        <v>396</v>
      </c>
      <c r="B414" s="29" t="s">
        <v>73</v>
      </c>
      <c r="C414" s="25" t="s">
        <v>1</v>
      </c>
      <c r="D414" s="26">
        <v>1.1499999999999999</v>
      </c>
      <c r="E414" s="27">
        <f>E413*D414</f>
        <v>5.75</v>
      </c>
      <c r="F414" s="27">
        <f t="shared" ref="F414" si="281">G414+H414</f>
        <v>0</v>
      </c>
      <c r="G414" s="27"/>
      <c r="H414" s="90"/>
      <c r="I414" s="27">
        <f t="shared" ref="I414" si="282">J414+K414</f>
        <v>0</v>
      </c>
      <c r="J414" s="27"/>
      <c r="K414" s="27">
        <f>ROUND(H414*E414,2)</f>
        <v>0</v>
      </c>
      <c r="L414" s="30" t="s">
        <v>11</v>
      </c>
      <c r="N414" s="4"/>
    </row>
    <row r="415" spans="1:14" ht="38.25" x14ac:dyDescent="0.25">
      <c r="A415" s="23" t="str">
        <f>IF(TRIM(E415)&lt;&gt;"",COUNTA($E$10:E415)&amp;"","")</f>
        <v>397</v>
      </c>
      <c r="B415" s="18" t="s">
        <v>83</v>
      </c>
      <c r="C415" s="19" t="s">
        <v>1</v>
      </c>
      <c r="D415" s="20"/>
      <c r="E415" s="21">
        <f>E406</f>
        <v>5</v>
      </c>
      <c r="F415" s="21">
        <f>G415+H415</f>
        <v>0</v>
      </c>
      <c r="G415" s="89"/>
      <c r="H415" s="21"/>
      <c r="I415" s="21">
        <f>J415+K415</f>
        <v>0</v>
      </c>
      <c r="J415" s="39">
        <f>ROUND(G415*E415,2)</f>
        <v>0</v>
      </c>
      <c r="K415" s="21"/>
      <c r="L415" s="22"/>
      <c r="M415" s="5"/>
      <c r="N415" s="4"/>
    </row>
    <row r="416" spans="1:14" ht="25.5" x14ac:dyDescent="0.25">
      <c r="A416" s="23" t="str">
        <f>IF(TRIM(E416)&lt;&gt;"",COUNTA($E$10:E416)&amp;"","")</f>
        <v>398</v>
      </c>
      <c r="B416" s="24" t="s">
        <v>21</v>
      </c>
      <c r="C416" s="25" t="s">
        <v>22</v>
      </c>
      <c r="D416" s="34">
        <v>1.0149999999999999</v>
      </c>
      <c r="E416" s="27">
        <f>Расчет!K41*D416</f>
        <v>0.25374999999999998</v>
      </c>
      <c r="F416" s="27">
        <f t="shared" ref="F416:F417" si="283">G416+H416</f>
        <v>0</v>
      </c>
      <c r="G416" s="27"/>
      <c r="H416" s="90"/>
      <c r="I416" s="27">
        <f t="shared" ref="I416:I417" si="284">J416+K416</f>
        <v>0</v>
      </c>
      <c r="J416" s="27"/>
      <c r="K416" s="27">
        <f t="shared" ref="K416:K417" si="285">ROUND(H416*E416,2)</f>
        <v>0</v>
      </c>
      <c r="L416" s="30" t="s">
        <v>11</v>
      </c>
      <c r="N416" s="4"/>
    </row>
    <row r="417" spans="1:14" ht="25.5" x14ac:dyDescent="0.25">
      <c r="A417" s="23" t="str">
        <f>IF(TRIM(E417)&lt;&gt;"",COUNTA($E$10:E417)&amp;"","")</f>
        <v>399</v>
      </c>
      <c r="B417" s="24" t="s">
        <v>74</v>
      </c>
      <c r="C417" s="25" t="s">
        <v>1</v>
      </c>
      <c r="D417" s="26">
        <v>1.2</v>
      </c>
      <c r="E417" s="27">
        <f>E415*D417</f>
        <v>6</v>
      </c>
      <c r="F417" s="27">
        <f t="shared" si="283"/>
        <v>0</v>
      </c>
      <c r="G417" s="27"/>
      <c r="H417" s="90"/>
      <c r="I417" s="27">
        <f t="shared" si="284"/>
        <v>0</v>
      </c>
      <c r="J417" s="27"/>
      <c r="K417" s="27">
        <f t="shared" si="285"/>
        <v>0</v>
      </c>
      <c r="L417" s="28" t="s">
        <v>11</v>
      </c>
      <c r="N417" s="4"/>
    </row>
    <row r="418" spans="1:14" ht="25.5" x14ac:dyDescent="0.25">
      <c r="A418" s="23" t="str">
        <f>IF(TRIM(E418)&lt;&gt;"",COUNTA($E$10:E418)&amp;"","")</f>
        <v>400</v>
      </c>
      <c r="B418" s="18" t="s">
        <v>127</v>
      </c>
      <c r="C418" s="19" t="s">
        <v>1</v>
      </c>
      <c r="D418" s="20"/>
      <c r="E418" s="21">
        <f>E406</f>
        <v>5</v>
      </c>
      <c r="F418" s="21">
        <f>G418+H418</f>
        <v>0</v>
      </c>
      <c r="G418" s="89"/>
      <c r="H418" s="21"/>
      <c r="I418" s="21">
        <f>J418+K418</f>
        <v>0</v>
      </c>
      <c r="J418" s="39">
        <f>ROUND(G418*E418,2)</f>
        <v>0</v>
      </c>
      <c r="K418" s="21"/>
      <c r="L418" s="22"/>
      <c r="N418" s="4"/>
    </row>
    <row r="419" spans="1:14" ht="25.5" x14ac:dyDescent="0.25">
      <c r="A419" s="23" t="str">
        <f>IF(TRIM(E419)&lt;&gt;"",COUNTA($E$10:E419)&amp;"","")</f>
        <v>401</v>
      </c>
      <c r="B419" s="24" t="s">
        <v>75</v>
      </c>
      <c r="C419" s="25" t="s">
        <v>20</v>
      </c>
      <c r="D419" s="26">
        <v>0.35</v>
      </c>
      <c r="E419" s="27">
        <f>E418*D419</f>
        <v>1.75</v>
      </c>
      <c r="F419" s="27">
        <f t="shared" ref="F419" si="286">G419+H419</f>
        <v>0</v>
      </c>
      <c r="G419" s="27"/>
      <c r="H419" s="90"/>
      <c r="I419" s="27">
        <f t="shared" ref="I419" si="287">J419+K419</f>
        <v>0</v>
      </c>
      <c r="J419" s="27"/>
      <c r="K419" s="27">
        <f>ROUND(H419*E419,2)</f>
        <v>0</v>
      </c>
      <c r="L419" s="28" t="s">
        <v>11</v>
      </c>
      <c r="N419" s="4"/>
    </row>
    <row r="420" spans="1:14" x14ac:dyDescent="0.25">
      <c r="A420" s="23" t="str">
        <f>IF(TRIM(E420)&lt;&gt;"",COUNTA($E$10:E420)&amp;"","")</f>
        <v>402</v>
      </c>
      <c r="B420" s="18" t="s">
        <v>84</v>
      </c>
      <c r="C420" s="19" t="s">
        <v>1</v>
      </c>
      <c r="D420" s="20"/>
      <c r="E420" s="21">
        <f>E406</f>
        <v>5</v>
      </c>
      <c r="F420" s="21">
        <f>G420+H420</f>
        <v>0</v>
      </c>
      <c r="G420" s="89"/>
      <c r="H420" s="21"/>
      <c r="I420" s="21">
        <f>J420+K420</f>
        <v>0</v>
      </c>
      <c r="J420" s="39">
        <f>ROUND(G420*E420,2)</f>
        <v>0</v>
      </c>
      <c r="K420" s="21"/>
      <c r="L420" s="22"/>
      <c r="N420" s="4"/>
    </row>
    <row r="421" spans="1:14" ht="25.5" x14ac:dyDescent="0.25">
      <c r="A421" s="23" t="str">
        <f>IF(TRIM(E421)&lt;&gt;"",COUNTA($E$10:E421)&amp;"","")</f>
        <v>403</v>
      </c>
      <c r="B421" s="24" t="s">
        <v>85</v>
      </c>
      <c r="C421" s="25" t="s">
        <v>20</v>
      </c>
      <c r="D421" s="26">
        <f>0.35*2</f>
        <v>0.7</v>
      </c>
      <c r="E421" s="27">
        <f>E420*D421</f>
        <v>3.5</v>
      </c>
      <c r="F421" s="27">
        <f t="shared" ref="F421" si="288">G421+H421</f>
        <v>0</v>
      </c>
      <c r="G421" s="27"/>
      <c r="H421" s="90"/>
      <c r="I421" s="27">
        <f t="shared" ref="I421" si="289">J421+K421</f>
        <v>0</v>
      </c>
      <c r="J421" s="27"/>
      <c r="K421" s="27">
        <f>ROUND(H421*E421,2)</f>
        <v>0</v>
      </c>
      <c r="L421" s="28" t="s">
        <v>11</v>
      </c>
      <c r="N421" s="4"/>
    </row>
    <row r="422" spans="1:14" ht="25.5" x14ac:dyDescent="0.25">
      <c r="A422" s="23" t="str">
        <f>IF(TRIM(E422)&lt;&gt;"",COUNTA($E$10:E422)&amp;"","")</f>
        <v>404</v>
      </c>
      <c r="B422" s="48" t="s">
        <v>129</v>
      </c>
      <c r="C422" s="49" t="s">
        <v>1</v>
      </c>
      <c r="D422" s="50"/>
      <c r="E422" s="21">
        <f>E406</f>
        <v>5</v>
      </c>
      <c r="F422" s="21">
        <f>G422+H422</f>
        <v>0</v>
      </c>
      <c r="G422" s="89"/>
      <c r="H422" s="21"/>
      <c r="I422" s="21">
        <f>J422+K422</f>
        <v>0</v>
      </c>
      <c r="J422" s="39">
        <f>ROUND(G422*E422,2)</f>
        <v>0</v>
      </c>
      <c r="K422" s="21"/>
      <c r="L422" s="51"/>
      <c r="N422" s="4"/>
    </row>
    <row r="423" spans="1:14" ht="25.5" x14ac:dyDescent="0.25">
      <c r="A423" s="23" t="str">
        <f>IF(TRIM(E423)&lt;&gt;"",COUNTA($E$10:E423)&amp;"","")</f>
        <v>405</v>
      </c>
      <c r="B423" s="52" t="s">
        <v>86</v>
      </c>
      <c r="C423" s="36" t="s">
        <v>1</v>
      </c>
      <c r="D423" s="53">
        <v>1.03</v>
      </c>
      <c r="E423" s="27">
        <f>E422*D423</f>
        <v>5.15</v>
      </c>
      <c r="F423" s="27">
        <f t="shared" ref="F423" si="290">G423+H423</f>
        <v>0</v>
      </c>
      <c r="G423" s="27"/>
      <c r="H423" s="90"/>
      <c r="I423" s="27">
        <f t="shared" ref="I423" si="291">J423+K423</f>
        <v>0</v>
      </c>
      <c r="J423" s="27"/>
      <c r="K423" s="27">
        <f>ROUND(H423*E423,2)</f>
        <v>0</v>
      </c>
      <c r="L423" s="30" t="s">
        <v>11</v>
      </c>
      <c r="N423" s="4"/>
    </row>
    <row r="424" spans="1:14" ht="25.5" x14ac:dyDescent="0.25">
      <c r="A424" s="23" t="str">
        <f>IF(TRIM(E424)&lt;&gt;"",COUNTA($E$10:E424)&amp;"","")</f>
        <v>406</v>
      </c>
      <c r="B424" s="18" t="s">
        <v>130</v>
      </c>
      <c r="C424" s="19" t="s">
        <v>1</v>
      </c>
      <c r="D424" s="20"/>
      <c r="E424" s="21">
        <f>E406</f>
        <v>5</v>
      </c>
      <c r="F424" s="21">
        <f>G424+H424</f>
        <v>0</v>
      </c>
      <c r="G424" s="89"/>
      <c r="H424" s="21"/>
      <c r="I424" s="21">
        <f>J424+K424</f>
        <v>0</v>
      </c>
      <c r="J424" s="39">
        <f>ROUND(G424*E424,2)</f>
        <v>0</v>
      </c>
      <c r="K424" s="21"/>
      <c r="L424" s="22"/>
      <c r="M424" s="5"/>
      <c r="N424" s="4"/>
    </row>
    <row r="425" spans="1:14" ht="25.5" x14ac:dyDescent="0.25">
      <c r="A425" s="23" t="str">
        <f>IF(TRIM(E425)&lt;&gt;"",COUNTA($E$10:E425)&amp;"","")</f>
        <v>407</v>
      </c>
      <c r="B425" s="24" t="s">
        <v>87</v>
      </c>
      <c r="C425" s="25" t="s">
        <v>1</v>
      </c>
      <c r="D425" s="26">
        <v>1.02</v>
      </c>
      <c r="E425" s="27">
        <f>E424*D425</f>
        <v>5.0999999999999996</v>
      </c>
      <c r="F425" s="27">
        <f t="shared" ref="F425" si="292">G425+H425</f>
        <v>0</v>
      </c>
      <c r="G425" s="27"/>
      <c r="H425" s="90"/>
      <c r="I425" s="27">
        <f t="shared" ref="I425" si="293">J425+K425</f>
        <v>0</v>
      </c>
      <c r="J425" s="27"/>
      <c r="K425" s="27">
        <f>ROUND(H425*E425,2)</f>
        <v>0</v>
      </c>
      <c r="L425" s="30" t="s">
        <v>11</v>
      </c>
      <c r="N425" s="4"/>
    </row>
    <row r="426" spans="1:14" s="5" customFormat="1" x14ac:dyDescent="0.25">
      <c r="A426" s="11"/>
      <c r="B426" s="12" t="s">
        <v>169</v>
      </c>
      <c r="C426" s="12"/>
      <c r="D426" s="13"/>
      <c r="E426" s="13"/>
      <c r="F426" s="13"/>
      <c r="G426" s="13"/>
      <c r="H426" s="13"/>
      <c r="I426" s="13"/>
      <c r="J426" s="13"/>
      <c r="K426" s="13"/>
      <c r="L426" s="13"/>
    </row>
    <row r="427" spans="1:14" s="5" customFormat="1" x14ac:dyDescent="0.25">
      <c r="A427" s="14"/>
      <c r="B427" s="15" t="s">
        <v>115</v>
      </c>
      <c r="C427" s="16"/>
      <c r="D427" s="17"/>
      <c r="E427" s="17"/>
      <c r="F427" s="17"/>
      <c r="G427" s="17"/>
      <c r="H427" s="17"/>
      <c r="I427" s="17"/>
      <c r="J427" s="17"/>
      <c r="K427" s="17"/>
      <c r="L427" s="16"/>
    </row>
    <row r="428" spans="1:14" ht="25.5" x14ac:dyDescent="0.25">
      <c r="A428" s="1" t="str">
        <f>IF(TRIM(E428)&lt;&gt;"",COUNTA($E$10:E428)&amp;"","")</f>
        <v>408</v>
      </c>
      <c r="B428" s="18" t="s">
        <v>50</v>
      </c>
      <c r="C428" s="19" t="s">
        <v>1</v>
      </c>
      <c r="D428" s="20"/>
      <c r="E428" s="21">
        <f>Расчет!E47+Расчет!E48+E446*0.35</f>
        <v>516.78300000000002</v>
      </c>
      <c r="F428" s="21">
        <f>G428+H428</f>
        <v>0</v>
      </c>
      <c r="G428" s="89"/>
      <c r="H428" s="21"/>
      <c r="I428" s="21">
        <f>J428+K428</f>
        <v>0</v>
      </c>
      <c r="J428" s="39">
        <f>ROUND(G428*E428,2)</f>
        <v>0</v>
      </c>
      <c r="K428" s="21"/>
      <c r="L428" s="22"/>
      <c r="N428" s="4"/>
    </row>
    <row r="429" spans="1:14" ht="25.5" x14ac:dyDescent="0.25">
      <c r="A429" s="23" t="str">
        <f>IF(TRIM(E429)&lt;&gt;"",COUNTA($E$10:E429)&amp;"","")</f>
        <v>409</v>
      </c>
      <c r="B429" s="24" t="s">
        <v>75</v>
      </c>
      <c r="C429" s="25" t="s">
        <v>20</v>
      </c>
      <c r="D429" s="26">
        <v>0.35</v>
      </c>
      <c r="E429" s="27">
        <f>E428*D429</f>
        <v>180.87404999999998</v>
      </c>
      <c r="F429" s="27">
        <f t="shared" ref="F429" si="294">G429+H429</f>
        <v>0</v>
      </c>
      <c r="G429" s="27"/>
      <c r="H429" s="90"/>
      <c r="I429" s="27">
        <f t="shared" ref="I429" si="295">J429+K429</f>
        <v>0</v>
      </c>
      <c r="J429" s="27"/>
      <c r="K429" s="27">
        <f>ROUND(H429*E429,2)</f>
        <v>0</v>
      </c>
      <c r="L429" s="28" t="s">
        <v>11</v>
      </c>
      <c r="N429" s="4"/>
    </row>
    <row r="430" spans="1:14" ht="25.5" x14ac:dyDescent="0.25">
      <c r="A430" s="23" t="str">
        <f>IF(TRIM(E430)&lt;&gt;"",COUNTA($E$10:E430)&amp;"","")</f>
        <v>410</v>
      </c>
      <c r="B430" s="18" t="s">
        <v>116</v>
      </c>
      <c r="C430" s="19" t="s">
        <v>1</v>
      </c>
      <c r="D430" s="20"/>
      <c r="E430" s="21">
        <f>E428</f>
        <v>516.78300000000002</v>
      </c>
      <c r="F430" s="21">
        <f>G430+H430</f>
        <v>0</v>
      </c>
      <c r="G430" s="89"/>
      <c r="H430" s="21"/>
      <c r="I430" s="21">
        <f>J430+K430</f>
        <v>0</v>
      </c>
      <c r="J430" s="39">
        <f>ROUND(G430*E430,2)</f>
        <v>0</v>
      </c>
      <c r="K430" s="21"/>
      <c r="L430" s="22"/>
      <c r="N430" s="4"/>
    </row>
    <row r="431" spans="1:14" ht="25.5" x14ac:dyDescent="0.25">
      <c r="A431" s="23" t="str">
        <f>IF(TRIM(E431)&lt;&gt;"",COUNTA($E$10:E431)&amp;"","")</f>
        <v>411</v>
      </c>
      <c r="B431" s="29" t="s">
        <v>76</v>
      </c>
      <c r="C431" s="25" t="s">
        <v>1</v>
      </c>
      <c r="D431" s="26">
        <v>1.1499999999999999</v>
      </c>
      <c r="E431" s="27">
        <f>E430*D431</f>
        <v>594.30044999999996</v>
      </c>
      <c r="F431" s="27">
        <f t="shared" ref="F431:F432" si="296">G431+H431</f>
        <v>0</v>
      </c>
      <c r="G431" s="27"/>
      <c r="H431" s="90"/>
      <c r="I431" s="27">
        <f t="shared" ref="I431:I432" si="297">J431+K431</f>
        <v>0</v>
      </c>
      <c r="J431" s="27"/>
      <c r="K431" s="27">
        <f t="shared" ref="K431:K432" si="298">ROUND(H431*E431,2)</f>
        <v>0</v>
      </c>
      <c r="L431" s="30" t="s">
        <v>11</v>
      </c>
      <c r="N431" s="4"/>
    </row>
    <row r="432" spans="1:14" ht="25.5" x14ac:dyDescent="0.25">
      <c r="A432" s="23" t="str">
        <f>IF(TRIM(E432)&lt;&gt;"",COUNTA($E$10:E432)&amp;"","")</f>
        <v>412</v>
      </c>
      <c r="B432" s="31" t="s">
        <v>117</v>
      </c>
      <c r="C432" s="32" t="s">
        <v>3</v>
      </c>
      <c r="D432" s="33">
        <v>0.3</v>
      </c>
      <c r="E432" s="27">
        <f>E430*D432</f>
        <v>155.03489999999999</v>
      </c>
      <c r="F432" s="27">
        <f t="shared" si="296"/>
        <v>0</v>
      </c>
      <c r="G432" s="27"/>
      <c r="H432" s="90"/>
      <c r="I432" s="27">
        <f t="shared" si="297"/>
        <v>0</v>
      </c>
      <c r="J432" s="27"/>
      <c r="K432" s="27">
        <f t="shared" si="298"/>
        <v>0</v>
      </c>
      <c r="L432" s="30" t="s">
        <v>11</v>
      </c>
      <c r="N432" s="4"/>
    </row>
    <row r="433" spans="1:14" x14ac:dyDescent="0.25">
      <c r="A433" s="23" t="str">
        <f>IF(TRIM(E433)&lt;&gt;"",COUNTA($E$10:E433)&amp;"","")</f>
        <v>413</v>
      </c>
      <c r="B433" s="18" t="s">
        <v>47</v>
      </c>
      <c r="C433" s="19" t="s">
        <v>1</v>
      </c>
      <c r="D433" s="20"/>
      <c r="E433" s="21">
        <f>Расчет!E47+Расчет!E48</f>
        <v>450.01000000000005</v>
      </c>
      <c r="F433" s="21">
        <f>G433+H433</f>
        <v>0</v>
      </c>
      <c r="G433" s="89"/>
      <c r="H433" s="21"/>
      <c r="I433" s="21">
        <f>J433+K433</f>
        <v>0</v>
      </c>
      <c r="J433" s="39">
        <f>ROUND(G433*E433,2)</f>
        <v>0</v>
      </c>
      <c r="K433" s="21"/>
      <c r="L433" s="22"/>
      <c r="N433" s="4"/>
    </row>
    <row r="434" spans="1:14" ht="25.5" x14ac:dyDescent="0.25">
      <c r="A434" s="23" t="str">
        <f>IF(TRIM(E434)&lt;&gt;"",COUNTA($E$10:E434)&amp;"","")</f>
        <v>414</v>
      </c>
      <c r="B434" s="29" t="s">
        <v>72</v>
      </c>
      <c r="C434" s="25" t="s">
        <v>22</v>
      </c>
      <c r="D434" s="26">
        <v>1.1000000000000001</v>
      </c>
      <c r="E434" s="27">
        <f>E433*0.1*D434</f>
        <v>49.501100000000008</v>
      </c>
      <c r="F434" s="27">
        <f t="shared" ref="F434" si="299">G434+H434</f>
        <v>0</v>
      </c>
      <c r="G434" s="27"/>
      <c r="H434" s="90"/>
      <c r="I434" s="27">
        <f t="shared" ref="I434" si="300">J434+K434</f>
        <v>0</v>
      </c>
      <c r="J434" s="27"/>
      <c r="K434" s="27">
        <f>ROUND(H434*E434,2)</f>
        <v>0</v>
      </c>
      <c r="L434" s="30" t="s">
        <v>11</v>
      </c>
      <c r="N434" s="4"/>
    </row>
    <row r="435" spans="1:14" x14ac:dyDescent="0.25">
      <c r="A435" s="23" t="str">
        <f>IF(TRIM(E435)&lt;&gt;"",COUNTA($E$10:E435)&amp;"","")</f>
        <v>415</v>
      </c>
      <c r="B435" s="18" t="s">
        <v>88</v>
      </c>
      <c r="C435" s="19" t="s">
        <v>1</v>
      </c>
      <c r="D435" s="20"/>
      <c r="E435" s="21">
        <f>E446*0.47</f>
        <v>89.666600000000003</v>
      </c>
      <c r="F435" s="21">
        <f>G435+H435</f>
        <v>0</v>
      </c>
      <c r="G435" s="89"/>
      <c r="H435" s="21"/>
      <c r="I435" s="21">
        <f>J435+K435</f>
        <v>0</v>
      </c>
      <c r="J435" s="39">
        <f>ROUND(G435*E435,2)</f>
        <v>0</v>
      </c>
      <c r="K435" s="21"/>
      <c r="L435" s="22"/>
      <c r="N435" s="4"/>
    </row>
    <row r="436" spans="1:14" ht="25.5" x14ac:dyDescent="0.25">
      <c r="A436" s="23" t="str">
        <f>IF(TRIM(E436)&lt;&gt;"",COUNTA($E$10:E436)&amp;"","")</f>
        <v>416</v>
      </c>
      <c r="B436" s="29" t="s">
        <v>89</v>
      </c>
      <c r="C436" s="25" t="s">
        <v>22</v>
      </c>
      <c r="D436" s="26">
        <v>1.03</v>
      </c>
      <c r="E436" s="27">
        <f>E435*0.05*D436</f>
        <v>4.6178299000000003</v>
      </c>
      <c r="F436" s="27">
        <f t="shared" ref="F436:F437" si="301">G436+H436</f>
        <v>0</v>
      </c>
      <c r="G436" s="27"/>
      <c r="H436" s="90"/>
      <c r="I436" s="27">
        <f t="shared" ref="I436:I437" si="302">J436+K436</f>
        <v>0</v>
      </c>
      <c r="J436" s="27"/>
      <c r="K436" s="27">
        <f t="shared" ref="K436:K437" si="303">ROUND(H436*E436,2)</f>
        <v>0</v>
      </c>
      <c r="L436" s="30" t="s">
        <v>11</v>
      </c>
      <c r="N436" s="4"/>
    </row>
    <row r="437" spans="1:14" ht="25.5" x14ac:dyDescent="0.25">
      <c r="A437" s="23" t="str">
        <f>IF(TRIM(E437)&lt;&gt;"",COUNTA($E$10:E437)&amp;"","")</f>
        <v>417</v>
      </c>
      <c r="B437" s="29" t="s">
        <v>90</v>
      </c>
      <c r="C437" s="25" t="s">
        <v>0</v>
      </c>
      <c r="D437" s="26">
        <v>5</v>
      </c>
      <c r="E437" s="27">
        <f>ROUND(E435*D437,0)</f>
        <v>448</v>
      </c>
      <c r="F437" s="27">
        <f t="shared" si="301"/>
        <v>0</v>
      </c>
      <c r="G437" s="27"/>
      <c r="H437" s="90"/>
      <c r="I437" s="27">
        <f t="shared" si="302"/>
        <v>0</v>
      </c>
      <c r="J437" s="27"/>
      <c r="K437" s="27">
        <f t="shared" si="303"/>
        <v>0</v>
      </c>
      <c r="L437" s="30" t="s">
        <v>11</v>
      </c>
      <c r="N437" s="4"/>
    </row>
    <row r="438" spans="1:14" x14ac:dyDescent="0.25">
      <c r="A438" s="23" t="str">
        <f>IF(TRIM(E438)&lt;&gt;"",COUNTA($E$10:E438)&amp;"","")</f>
        <v>418</v>
      </c>
      <c r="B438" s="18" t="s">
        <v>91</v>
      </c>
      <c r="C438" s="19" t="s">
        <v>1</v>
      </c>
      <c r="D438" s="20"/>
      <c r="E438" s="21">
        <f>E435</f>
        <v>89.666600000000003</v>
      </c>
      <c r="F438" s="21">
        <f>G438+H438</f>
        <v>0</v>
      </c>
      <c r="G438" s="89"/>
      <c r="H438" s="21"/>
      <c r="I438" s="21">
        <f>J438+K438</f>
        <v>0</v>
      </c>
      <c r="J438" s="39">
        <f>ROUND(G438*E438,2)</f>
        <v>0</v>
      </c>
      <c r="K438" s="21"/>
      <c r="L438" s="22"/>
      <c r="N438" s="4"/>
    </row>
    <row r="439" spans="1:14" ht="25.5" x14ac:dyDescent="0.25">
      <c r="A439" s="23" t="str">
        <f>IF(TRIM(E439)&lt;&gt;"",COUNTA($E$10:E439)&amp;"","")</f>
        <v>419</v>
      </c>
      <c r="B439" s="29" t="s">
        <v>21</v>
      </c>
      <c r="C439" s="25" t="s">
        <v>22</v>
      </c>
      <c r="D439" s="34">
        <v>1.0149999999999999</v>
      </c>
      <c r="E439" s="27">
        <f>E438*0.02*D439</f>
        <v>1.82023198</v>
      </c>
      <c r="F439" s="27">
        <f t="shared" ref="F439:F440" si="304">G439+H439</f>
        <v>0</v>
      </c>
      <c r="G439" s="27"/>
      <c r="H439" s="90"/>
      <c r="I439" s="27">
        <f t="shared" ref="I439:I440" si="305">J439+K439</f>
        <v>0</v>
      </c>
      <c r="J439" s="27"/>
      <c r="K439" s="27">
        <f t="shared" ref="K439:K440" si="306">ROUND(H439*E439,2)</f>
        <v>0</v>
      </c>
      <c r="L439" s="28" t="s">
        <v>11</v>
      </c>
      <c r="N439" s="4"/>
    </row>
    <row r="440" spans="1:14" ht="25.5" x14ac:dyDescent="0.25">
      <c r="A440" s="23" t="str">
        <f>IF(TRIM(E440)&lt;&gt;"",COUNTA($E$10:E440)&amp;"","")</f>
        <v>420</v>
      </c>
      <c r="B440" s="24" t="s">
        <v>92</v>
      </c>
      <c r="C440" s="25" t="s">
        <v>1</v>
      </c>
      <c r="D440" s="26">
        <v>1.2</v>
      </c>
      <c r="E440" s="27">
        <f>E438*D440</f>
        <v>107.59992</v>
      </c>
      <c r="F440" s="27">
        <f t="shared" si="304"/>
        <v>0</v>
      </c>
      <c r="G440" s="27"/>
      <c r="H440" s="90"/>
      <c r="I440" s="27">
        <f t="shared" si="305"/>
        <v>0</v>
      </c>
      <c r="J440" s="27"/>
      <c r="K440" s="27">
        <f t="shared" si="306"/>
        <v>0</v>
      </c>
      <c r="L440" s="28" t="s">
        <v>11</v>
      </c>
      <c r="N440" s="4"/>
    </row>
    <row r="441" spans="1:14" x14ac:dyDescent="0.25">
      <c r="A441" s="23" t="str">
        <f>IF(TRIM(E441)&lt;&gt;"",COUNTA($E$10:E441)&amp;"","")</f>
        <v>421</v>
      </c>
      <c r="B441" s="18" t="s">
        <v>51</v>
      </c>
      <c r="C441" s="19" t="s">
        <v>1</v>
      </c>
      <c r="D441" s="20"/>
      <c r="E441" s="21">
        <f>E433</f>
        <v>450.01000000000005</v>
      </c>
      <c r="F441" s="21">
        <f>G441+H441</f>
        <v>0</v>
      </c>
      <c r="G441" s="89"/>
      <c r="H441" s="21"/>
      <c r="I441" s="21">
        <f>J441+K441</f>
        <v>0</v>
      </c>
      <c r="J441" s="39">
        <f>ROUND(G441*E441,2)</f>
        <v>0</v>
      </c>
      <c r="K441" s="21"/>
      <c r="L441" s="22"/>
      <c r="N441" s="4"/>
    </row>
    <row r="442" spans="1:14" ht="25.5" x14ac:dyDescent="0.25">
      <c r="A442" s="23" t="str">
        <f>IF(TRIM(E442)&lt;&gt;"",COUNTA($E$10:E442)&amp;"","")</f>
        <v>422</v>
      </c>
      <c r="B442" s="29" t="s">
        <v>73</v>
      </c>
      <c r="C442" s="25" t="s">
        <v>1</v>
      </c>
      <c r="D442" s="26">
        <v>1.1499999999999999</v>
      </c>
      <c r="E442" s="27">
        <f>E441*D442</f>
        <v>517.51150000000007</v>
      </c>
      <c r="F442" s="27">
        <f t="shared" ref="F442" si="307">G442+H442</f>
        <v>0</v>
      </c>
      <c r="G442" s="27"/>
      <c r="H442" s="90"/>
      <c r="I442" s="27">
        <f t="shared" ref="I442" si="308">J442+K442</f>
        <v>0</v>
      </c>
      <c r="J442" s="27"/>
      <c r="K442" s="27">
        <f>ROUND(H442*E442,2)</f>
        <v>0</v>
      </c>
      <c r="L442" s="30" t="s">
        <v>11</v>
      </c>
      <c r="N442" s="4"/>
    </row>
    <row r="443" spans="1:14" ht="38.25" x14ac:dyDescent="0.25">
      <c r="A443" s="23" t="str">
        <f>IF(TRIM(E443)&lt;&gt;"",COUNTA($E$10:E443)&amp;"","")</f>
        <v>423</v>
      </c>
      <c r="B443" s="18" t="s">
        <v>134</v>
      </c>
      <c r="C443" s="19" t="s">
        <v>1</v>
      </c>
      <c r="D443" s="20"/>
      <c r="E443" s="21">
        <f>Расчет!E47+Расчет!E48</f>
        <v>450.01000000000005</v>
      </c>
      <c r="F443" s="21">
        <f>G443+H443</f>
        <v>0</v>
      </c>
      <c r="G443" s="89"/>
      <c r="H443" s="21"/>
      <c r="I443" s="21">
        <f>J443+K443</f>
        <v>0</v>
      </c>
      <c r="J443" s="39">
        <f>ROUND(G443*E443,2)</f>
        <v>0</v>
      </c>
      <c r="K443" s="21"/>
      <c r="L443" s="22"/>
      <c r="M443" s="5"/>
      <c r="N443" s="4"/>
    </row>
    <row r="444" spans="1:14" ht="25.5" x14ac:dyDescent="0.25">
      <c r="A444" s="23" t="str">
        <f>IF(TRIM(E444)&lt;&gt;"",COUNTA($E$10:E444)&amp;"","")</f>
        <v>424</v>
      </c>
      <c r="B444" s="24" t="s">
        <v>21</v>
      </c>
      <c r="C444" s="25" t="s">
        <v>22</v>
      </c>
      <c r="D444" s="34">
        <v>1.0149999999999999</v>
      </c>
      <c r="E444" s="27">
        <f>(Расчет!L52-Расчет!K52)*D444</f>
        <v>64.22598583333351</v>
      </c>
      <c r="F444" s="27">
        <f t="shared" ref="F444:F445" si="309">G444+H444</f>
        <v>0</v>
      </c>
      <c r="G444" s="27"/>
      <c r="H444" s="90"/>
      <c r="I444" s="27">
        <f t="shared" ref="I444:I445" si="310">J444+K444</f>
        <v>0</v>
      </c>
      <c r="J444" s="27"/>
      <c r="K444" s="27">
        <f t="shared" ref="K444:K445" si="311">ROUND(H444*E444,2)</f>
        <v>0</v>
      </c>
      <c r="L444" s="30" t="s">
        <v>11</v>
      </c>
      <c r="N444" s="4"/>
    </row>
    <row r="445" spans="1:14" ht="25.5" x14ac:dyDescent="0.25">
      <c r="A445" s="23" t="str">
        <f>IF(TRIM(E445)&lt;&gt;"",COUNTA($E$10:E445)&amp;"","")</f>
        <v>425</v>
      </c>
      <c r="B445" s="24" t="s">
        <v>74</v>
      </c>
      <c r="C445" s="25" t="s">
        <v>1</v>
      </c>
      <c r="D445" s="26">
        <v>1.2</v>
      </c>
      <c r="E445" s="27">
        <f>E443*D445</f>
        <v>540.01200000000006</v>
      </c>
      <c r="F445" s="27">
        <f t="shared" si="309"/>
        <v>0</v>
      </c>
      <c r="G445" s="27"/>
      <c r="H445" s="90"/>
      <c r="I445" s="27">
        <f t="shared" si="310"/>
        <v>0</v>
      </c>
      <c r="J445" s="27"/>
      <c r="K445" s="27">
        <f t="shared" si="311"/>
        <v>0</v>
      </c>
      <c r="L445" s="28" t="s">
        <v>11</v>
      </c>
      <c r="N445" s="4"/>
    </row>
    <row r="446" spans="1:14" ht="38.25" x14ac:dyDescent="0.25">
      <c r="A446" s="23" t="str">
        <f>IF(TRIM(E446)&lt;&gt;"",COUNTA($E$10:E446)&amp;"","")</f>
        <v>426</v>
      </c>
      <c r="B446" s="18" t="s">
        <v>24</v>
      </c>
      <c r="C446" s="19" t="s">
        <v>23</v>
      </c>
      <c r="D446" s="20"/>
      <c r="E446" s="21">
        <f>Расчет!F51</f>
        <v>190.78</v>
      </c>
      <c r="F446" s="21">
        <f>G446+H446</f>
        <v>0</v>
      </c>
      <c r="G446" s="89"/>
      <c r="H446" s="21"/>
      <c r="I446" s="21">
        <f>J446+K446</f>
        <v>0</v>
      </c>
      <c r="J446" s="39">
        <f>ROUND(G446*E446,2)</f>
        <v>0</v>
      </c>
      <c r="K446" s="21"/>
      <c r="L446" s="22"/>
      <c r="N446" s="4"/>
    </row>
    <row r="447" spans="1:14" ht="25.5" x14ac:dyDescent="0.25">
      <c r="A447" s="23" t="str">
        <f>IF(TRIM(E447)&lt;&gt;"",COUNTA($E$10:E447)&amp;"","")</f>
        <v>427</v>
      </c>
      <c r="B447" s="24" t="s">
        <v>21</v>
      </c>
      <c r="C447" s="25" t="s">
        <v>22</v>
      </c>
      <c r="D447" s="34">
        <v>5.0000000000000001E-3</v>
      </c>
      <c r="E447" s="27">
        <f>D447*E446</f>
        <v>0.95389999999999997</v>
      </c>
      <c r="F447" s="27">
        <f t="shared" ref="F447" si="312">G447+H447</f>
        <v>0</v>
      </c>
      <c r="G447" s="27"/>
      <c r="H447" s="90"/>
      <c r="I447" s="27">
        <f t="shared" ref="I447" si="313">J447+K447</f>
        <v>0</v>
      </c>
      <c r="J447" s="27"/>
      <c r="K447" s="27">
        <f>ROUND(H447*E447,2)</f>
        <v>0</v>
      </c>
      <c r="L447" s="30" t="s">
        <v>11</v>
      </c>
      <c r="N447" s="4"/>
    </row>
    <row r="448" spans="1:14" ht="25.5" x14ac:dyDescent="0.25">
      <c r="A448" s="23" t="str">
        <f>IF(TRIM(E448)&lt;&gt;"",COUNTA($E$10:E448)&amp;"","")</f>
        <v>428</v>
      </c>
      <c r="B448" s="18" t="s">
        <v>50</v>
      </c>
      <c r="C448" s="19" t="s">
        <v>1</v>
      </c>
      <c r="D448" s="20"/>
      <c r="E448" s="21">
        <f>E428</f>
        <v>516.78300000000002</v>
      </c>
      <c r="F448" s="21">
        <f>G448+H448</f>
        <v>0</v>
      </c>
      <c r="G448" s="89"/>
      <c r="H448" s="21"/>
      <c r="I448" s="21">
        <f>J448+K448</f>
        <v>0</v>
      </c>
      <c r="J448" s="39">
        <f>ROUND(G448*E448,2)</f>
        <v>0</v>
      </c>
      <c r="K448" s="21"/>
      <c r="L448" s="22"/>
      <c r="N448" s="4"/>
    </row>
    <row r="449" spans="1:14" ht="25.5" x14ac:dyDescent="0.25">
      <c r="A449" s="23" t="str">
        <f>IF(TRIM(E449)&lt;&gt;"",COUNTA($E$10:E449)&amp;"","")</f>
        <v>429</v>
      </c>
      <c r="B449" s="24" t="s">
        <v>75</v>
      </c>
      <c r="C449" s="25" t="s">
        <v>20</v>
      </c>
      <c r="D449" s="26">
        <v>0.35</v>
      </c>
      <c r="E449" s="27">
        <f>E448*D449</f>
        <v>180.87404999999998</v>
      </c>
      <c r="F449" s="27">
        <f t="shared" ref="F449" si="314">G449+H449</f>
        <v>0</v>
      </c>
      <c r="G449" s="27"/>
      <c r="H449" s="90"/>
      <c r="I449" s="27">
        <f t="shared" ref="I449" si="315">J449+K449</f>
        <v>0</v>
      </c>
      <c r="J449" s="27"/>
      <c r="K449" s="27">
        <f>ROUND(H449*E449,2)</f>
        <v>0</v>
      </c>
      <c r="L449" s="28" t="s">
        <v>11</v>
      </c>
      <c r="N449" s="4"/>
    </row>
    <row r="450" spans="1:14" x14ac:dyDescent="0.25">
      <c r="A450" s="23" t="str">
        <f>IF(TRIM(E450)&lt;&gt;"",COUNTA($E$10:E450)&amp;"","")</f>
        <v>430</v>
      </c>
      <c r="B450" s="18" t="s">
        <v>48</v>
      </c>
      <c r="C450" s="19" t="s">
        <v>1</v>
      </c>
      <c r="D450" s="20"/>
      <c r="E450" s="21">
        <f>Расчет!E47+Расчет!E48</f>
        <v>450.01000000000005</v>
      </c>
      <c r="F450" s="21">
        <f>G450+H450</f>
        <v>0</v>
      </c>
      <c r="G450" s="89"/>
      <c r="H450" s="21"/>
      <c r="I450" s="21">
        <f>J450+K450</f>
        <v>0</v>
      </c>
      <c r="J450" s="39">
        <f>ROUND(G450*E450,2)</f>
        <v>0</v>
      </c>
      <c r="K450" s="21"/>
      <c r="L450" s="22"/>
      <c r="N450" s="4"/>
    </row>
    <row r="451" spans="1:14" ht="25.5" x14ac:dyDescent="0.25">
      <c r="A451" s="23" t="str">
        <f>IF(TRIM(E451)&lt;&gt;"",COUNTA($E$10:E451)&amp;"","")</f>
        <v>431</v>
      </c>
      <c r="B451" s="24" t="s">
        <v>77</v>
      </c>
      <c r="C451" s="25" t="s">
        <v>1</v>
      </c>
      <c r="D451" s="26">
        <v>1.1399999999999999</v>
      </c>
      <c r="E451" s="27">
        <f>E450*D451</f>
        <v>513.01139999999998</v>
      </c>
      <c r="F451" s="27">
        <f t="shared" ref="F451:F453" si="316">G451+H451</f>
        <v>0</v>
      </c>
      <c r="G451" s="27"/>
      <c r="H451" s="90"/>
      <c r="I451" s="27">
        <f t="shared" ref="I451:I453" si="317">J451+K451</f>
        <v>0</v>
      </c>
      <c r="J451" s="27"/>
      <c r="K451" s="27">
        <f t="shared" ref="K451:K453" si="318">ROUND(H451*E451,2)</f>
        <v>0</v>
      </c>
      <c r="L451" s="28" t="s">
        <v>11</v>
      </c>
      <c r="N451" s="4"/>
    </row>
    <row r="452" spans="1:14" ht="25.5" x14ac:dyDescent="0.25">
      <c r="A452" s="23" t="str">
        <f>IF(TRIM(E452)&lt;&gt;"",COUNTA($E$10:E452)&amp;"","")</f>
        <v>432</v>
      </c>
      <c r="B452" s="24" t="s">
        <v>118</v>
      </c>
      <c r="C452" s="25" t="s">
        <v>1</v>
      </c>
      <c r="D452" s="26">
        <v>1.1599999999999999</v>
      </c>
      <c r="E452" s="27">
        <f>E450*D452</f>
        <v>522.01160000000004</v>
      </c>
      <c r="F452" s="27">
        <f t="shared" si="316"/>
        <v>0</v>
      </c>
      <c r="G452" s="27"/>
      <c r="H452" s="90"/>
      <c r="I452" s="27">
        <f t="shared" si="317"/>
        <v>0</v>
      </c>
      <c r="J452" s="27"/>
      <c r="K452" s="27">
        <f t="shared" si="318"/>
        <v>0</v>
      </c>
      <c r="L452" s="28" t="s">
        <v>11</v>
      </c>
      <c r="N452" s="4"/>
    </row>
    <row r="453" spans="1:14" ht="25.5" x14ac:dyDescent="0.25">
      <c r="A453" s="23" t="str">
        <f>IF(TRIM(E453)&lt;&gt;"",COUNTA($E$10:E453)&amp;"","")</f>
        <v>433</v>
      </c>
      <c r="B453" s="24" t="s">
        <v>117</v>
      </c>
      <c r="C453" s="32" t="s">
        <v>3</v>
      </c>
      <c r="D453" s="33">
        <v>0.6</v>
      </c>
      <c r="E453" s="27">
        <f>E450*D453</f>
        <v>270.00600000000003</v>
      </c>
      <c r="F453" s="27">
        <f t="shared" si="316"/>
        <v>0</v>
      </c>
      <c r="G453" s="27"/>
      <c r="H453" s="90"/>
      <c r="I453" s="27">
        <f t="shared" si="317"/>
        <v>0</v>
      </c>
      <c r="J453" s="27"/>
      <c r="K453" s="27">
        <f t="shared" si="318"/>
        <v>0</v>
      </c>
      <c r="L453" s="28" t="s">
        <v>11</v>
      </c>
      <c r="N453" s="4"/>
    </row>
    <row r="454" spans="1:14" ht="25.5" x14ac:dyDescent="0.25">
      <c r="A454" s="23" t="str">
        <f>IF(TRIM(E454)&lt;&gt;"",COUNTA($E$10:E454)&amp;"","")</f>
        <v>434</v>
      </c>
      <c r="B454" s="18" t="s">
        <v>119</v>
      </c>
      <c r="C454" s="19" t="s">
        <v>23</v>
      </c>
      <c r="D454" s="20"/>
      <c r="E454" s="21">
        <f>E446</f>
        <v>190.78</v>
      </c>
      <c r="F454" s="21">
        <f>G454+H454</f>
        <v>0</v>
      </c>
      <c r="G454" s="89"/>
      <c r="H454" s="21"/>
      <c r="I454" s="21">
        <f>J454+K454</f>
        <v>0</v>
      </c>
      <c r="J454" s="39">
        <f>ROUND(G454*E454,2)</f>
        <v>0</v>
      </c>
      <c r="K454" s="21"/>
      <c r="L454" s="22"/>
      <c r="N454" s="4"/>
    </row>
    <row r="455" spans="1:14" ht="25.5" x14ac:dyDescent="0.25">
      <c r="A455" s="23" t="str">
        <f>IF(TRIM(E455)&lt;&gt;"",COUNTA($E$10:E455)&amp;"","")</f>
        <v>435</v>
      </c>
      <c r="B455" s="24" t="s">
        <v>77</v>
      </c>
      <c r="C455" s="25" t="s">
        <v>1</v>
      </c>
      <c r="D455" s="26">
        <v>1.1399999999999999</v>
      </c>
      <c r="E455" s="27">
        <f>E454*0.6*D455</f>
        <v>130.49351999999999</v>
      </c>
      <c r="F455" s="27">
        <f t="shared" ref="F455:F460" si="319">G455+H455</f>
        <v>0</v>
      </c>
      <c r="G455" s="27"/>
      <c r="H455" s="90"/>
      <c r="I455" s="27">
        <f t="shared" ref="I455:I460" si="320">J455+K455</f>
        <v>0</v>
      </c>
      <c r="J455" s="27"/>
      <c r="K455" s="27">
        <f t="shared" ref="K455:K460" si="321">ROUND(H455*E455,2)</f>
        <v>0</v>
      </c>
      <c r="L455" s="30" t="s">
        <v>11</v>
      </c>
      <c r="N455" s="4"/>
    </row>
    <row r="456" spans="1:14" ht="25.5" x14ac:dyDescent="0.25">
      <c r="A456" s="23" t="str">
        <f>IF(TRIM(E456)&lt;&gt;"",COUNTA($E$10:E456)&amp;"","")</f>
        <v>436</v>
      </c>
      <c r="B456" s="24" t="s">
        <v>118</v>
      </c>
      <c r="C456" s="25" t="s">
        <v>1</v>
      </c>
      <c r="D456" s="26">
        <v>1.1599999999999999</v>
      </c>
      <c r="E456" s="27">
        <f>E454*0.6*D456</f>
        <v>132.78288000000001</v>
      </c>
      <c r="F456" s="27">
        <f t="shared" si="319"/>
        <v>0</v>
      </c>
      <c r="G456" s="27"/>
      <c r="H456" s="90"/>
      <c r="I456" s="27">
        <f t="shared" si="320"/>
        <v>0</v>
      </c>
      <c r="J456" s="27"/>
      <c r="K456" s="27">
        <f t="shared" si="321"/>
        <v>0</v>
      </c>
      <c r="L456" s="30" t="s">
        <v>11</v>
      </c>
      <c r="N456" s="4"/>
    </row>
    <row r="457" spans="1:14" ht="25.5" x14ac:dyDescent="0.25">
      <c r="A457" s="23" t="str">
        <f>IF(TRIM(E457)&lt;&gt;"",COUNTA($E$10:E457)&amp;"","")</f>
        <v>437</v>
      </c>
      <c r="B457" s="24" t="s">
        <v>117</v>
      </c>
      <c r="C457" s="32" t="s">
        <v>3</v>
      </c>
      <c r="D457" s="26">
        <v>0.6</v>
      </c>
      <c r="E457" s="27">
        <f>E454*D457</f>
        <v>114.468</v>
      </c>
      <c r="F457" s="27">
        <f t="shared" si="319"/>
        <v>0</v>
      </c>
      <c r="G457" s="27"/>
      <c r="H457" s="90"/>
      <c r="I457" s="27">
        <f t="shared" si="320"/>
        <v>0</v>
      </c>
      <c r="J457" s="27"/>
      <c r="K457" s="27">
        <f t="shared" si="321"/>
        <v>0</v>
      </c>
      <c r="L457" s="30" t="s">
        <v>11</v>
      </c>
      <c r="N457" s="4"/>
    </row>
    <row r="458" spans="1:14" ht="25.5" x14ac:dyDescent="0.25">
      <c r="A458" s="23" t="str">
        <f>IF(TRIM(E458)&lt;&gt;"",COUNTA($E$10:E458)&amp;"","")</f>
        <v>438</v>
      </c>
      <c r="B458" s="24" t="s">
        <v>33</v>
      </c>
      <c r="C458" s="36" t="s">
        <v>2</v>
      </c>
      <c r="D458" s="26">
        <v>1.03</v>
      </c>
      <c r="E458" s="27">
        <f>E454*D458</f>
        <v>196.5034</v>
      </c>
      <c r="F458" s="27">
        <f t="shared" si="319"/>
        <v>0</v>
      </c>
      <c r="G458" s="27"/>
      <c r="H458" s="90"/>
      <c r="I458" s="27">
        <f t="shared" si="320"/>
        <v>0</v>
      </c>
      <c r="J458" s="27"/>
      <c r="K458" s="27">
        <f t="shared" si="321"/>
        <v>0</v>
      </c>
      <c r="L458" s="30" t="s">
        <v>11</v>
      </c>
      <c r="N458" s="4"/>
    </row>
    <row r="459" spans="1:14" ht="25.5" x14ac:dyDescent="0.25">
      <c r="A459" s="23" t="str">
        <f>IF(TRIM(E459)&lt;&gt;"",COUNTA($E$10:E459)&amp;"","")</f>
        <v>439</v>
      </c>
      <c r="B459" s="24" t="s">
        <v>25</v>
      </c>
      <c r="C459" s="32" t="s">
        <v>0</v>
      </c>
      <c r="D459" s="26">
        <v>5</v>
      </c>
      <c r="E459" s="27">
        <f>ROUNDUP(E458*D459,0)</f>
        <v>983</v>
      </c>
      <c r="F459" s="27">
        <f t="shared" si="319"/>
        <v>0</v>
      </c>
      <c r="G459" s="27"/>
      <c r="H459" s="90"/>
      <c r="I459" s="27">
        <f t="shared" si="320"/>
        <v>0</v>
      </c>
      <c r="J459" s="27"/>
      <c r="K459" s="27">
        <f t="shared" si="321"/>
        <v>0</v>
      </c>
      <c r="L459" s="30" t="s">
        <v>11</v>
      </c>
      <c r="N459" s="4"/>
    </row>
    <row r="460" spans="1:14" ht="25.5" x14ac:dyDescent="0.25">
      <c r="A460" s="23" t="str">
        <f>IF(TRIM(E460)&lt;&gt;"",COUNTA($E$10:E460)&amp;"","")</f>
        <v>440</v>
      </c>
      <c r="B460" s="24" t="s">
        <v>57</v>
      </c>
      <c r="C460" s="37" t="s">
        <v>0</v>
      </c>
      <c r="D460" s="26">
        <v>0.15</v>
      </c>
      <c r="E460" s="27">
        <f>ROUNDDOWN(E454*0.15,0)</f>
        <v>28</v>
      </c>
      <c r="F460" s="27">
        <f t="shared" si="319"/>
        <v>0</v>
      </c>
      <c r="G460" s="27"/>
      <c r="H460" s="90"/>
      <c r="I460" s="27">
        <f t="shared" si="320"/>
        <v>0</v>
      </c>
      <c r="J460" s="27"/>
      <c r="K460" s="27">
        <f t="shared" si="321"/>
        <v>0</v>
      </c>
      <c r="L460" s="30" t="s">
        <v>11</v>
      </c>
      <c r="N460" s="4"/>
    </row>
    <row r="461" spans="1:14" x14ac:dyDescent="0.25">
      <c r="A461" s="23" t="str">
        <f>IF(TRIM(E461)&lt;&gt;"",COUNTA($E$10:E461)&amp;"","")</f>
        <v>441</v>
      </c>
      <c r="B461" s="18" t="s">
        <v>26</v>
      </c>
      <c r="C461" s="19" t="s">
        <v>0</v>
      </c>
      <c r="D461" s="20"/>
      <c r="E461" s="21">
        <v>2</v>
      </c>
      <c r="F461" s="21">
        <f>G461+H461</f>
        <v>0</v>
      </c>
      <c r="G461" s="89"/>
      <c r="H461" s="21"/>
      <c r="I461" s="21">
        <f>J461+K461</f>
        <v>0</v>
      </c>
      <c r="J461" s="39">
        <f>ROUND(G461*E461,2)</f>
        <v>0</v>
      </c>
      <c r="K461" s="21"/>
      <c r="L461" s="22"/>
      <c r="N461" s="4"/>
    </row>
    <row r="462" spans="1:14" ht="38.25" x14ac:dyDescent="0.25">
      <c r="A462" s="23" t="str">
        <f>IF(TRIM(E462)&lt;&gt;"",COUNTA($E$10:E462)&amp;"","")</f>
        <v>442</v>
      </c>
      <c r="B462" s="24" t="s">
        <v>120</v>
      </c>
      <c r="C462" s="25" t="s">
        <v>0</v>
      </c>
      <c r="D462" s="26">
        <v>1</v>
      </c>
      <c r="E462" s="27">
        <f>E461</f>
        <v>2</v>
      </c>
      <c r="F462" s="27">
        <f t="shared" ref="F462" si="322">G462+H462</f>
        <v>0</v>
      </c>
      <c r="G462" s="27"/>
      <c r="H462" s="90"/>
      <c r="I462" s="27">
        <f t="shared" ref="I462" si="323">J462+K462</f>
        <v>0</v>
      </c>
      <c r="J462" s="27"/>
      <c r="K462" s="27">
        <f>ROUND(H462*E462,2)</f>
        <v>0</v>
      </c>
      <c r="L462" s="30" t="s">
        <v>11</v>
      </c>
      <c r="N462" s="4"/>
    </row>
    <row r="463" spans="1:14" x14ac:dyDescent="0.25">
      <c r="A463" s="23" t="str">
        <f>IF(TRIM(E463)&lt;&gt;"",COUNTA($E$10:E463)&amp;"","")</f>
        <v>443</v>
      </c>
      <c r="B463" s="18" t="s">
        <v>46</v>
      </c>
      <c r="C463" s="19" t="s">
        <v>0</v>
      </c>
      <c r="D463" s="20"/>
      <c r="E463" s="21">
        <v>1</v>
      </c>
      <c r="F463" s="21">
        <f>G463+H463</f>
        <v>0</v>
      </c>
      <c r="G463" s="89"/>
      <c r="H463" s="21"/>
      <c r="I463" s="21">
        <f>J463+K463</f>
        <v>0</v>
      </c>
      <c r="J463" s="39">
        <f>ROUND(G463*E463,2)</f>
        <v>0</v>
      </c>
      <c r="K463" s="21"/>
      <c r="L463" s="22"/>
      <c r="N463" s="4"/>
    </row>
    <row r="464" spans="1:14" ht="25.5" x14ac:dyDescent="0.25">
      <c r="A464" s="23" t="str">
        <f>IF(TRIM(E464)&lt;&gt;"",COUNTA($E$10:E464)&amp;"","")</f>
        <v>444</v>
      </c>
      <c r="B464" s="24" t="s">
        <v>78</v>
      </c>
      <c r="C464" s="25" t="s">
        <v>0</v>
      </c>
      <c r="D464" s="26">
        <v>1</v>
      </c>
      <c r="E464" s="27">
        <f>E463</f>
        <v>1</v>
      </c>
      <c r="F464" s="27">
        <f t="shared" ref="F464" si="324">G464+H464</f>
        <v>0</v>
      </c>
      <c r="G464" s="27"/>
      <c r="H464" s="90"/>
      <c r="I464" s="27">
        <f t="shared" ref="I464" si="325">J464+K464</f>
        <v>0</v>
      </c>
      <c r="J464" s="27"/>
      <c r="K464" s="27">
        <f>ROUND(H464*E464,2)</f>
        <v>0</v>
      </c>
      <c r="L464" s="30" t="s">
        <v>11</v>
      </c>
      <c r="N464" s="4"/>
    </row>
    <row r="465" spans="1:14" x14ac:dyDescent="0.25">
      <c r="A465" s="23" t="str">
        <f>IF(TRIM(E465)&lt;&gt;"",COUNTA($E$10:E465)&amp;"","")</f>
        <v>445</v>
      </c>
      <c r="B465" s="18" t="s">
        <v>44</v>
      </c>
      <c r="C465" s="19" t="s">
        <v>0</v>
      </c>
      <c r="D465" s="20"/>
      <c r="E465" s="21">
        <v>6</v>
      </c>
      <c r="F465" s="21">
        <f>G465+H465</f>
        <v>0</v>
      </c>
      <c r="G465" s="89"/>
      <c r="H465" s="21"/>
      <c r="I465" s="21">
        <f>J465+K465</f>
        <v>0</v>
      </c>
      <c r="J465" s="39">
        <f>ROUND(G465*E465,2)</f>
        <v>0</v>
      </c>
      <c r="K465" s="21"/>
      <c r="L465" s="22"/>
      <c r="N465" s="4"/>
    </row>
    <row r="466" spans="1:14" ht="25.5" x14ac:dyDescent="0.25">
      <c r="A466" s="23" t="str">
        <f>IF(TRIM(E466)&lt;&gt;"",COUNTA($E$10:E466)&amp;"","")</f>
        <v>446</v>
      </c>
      <c r="B466" s="24" t="s">
        <v>54</v>
      </c>
      <c r="C466" s="25" t="s">
        <v>0</v>
      </c>
      <c r="D466" s="26">
        <v>1</v>
      </c>
      <c r="E466" s="27">
        <f>E465*D466</f>
        <v>6</v>
      </c>
      <c r="F466" s="27">
        <f t="shared" ref="F466" si="326">G466+H466</f>
        <v>0</v>
      </c>
      <c r="G466" s="27"/>
      <c r="H466" s="90"/>
      <c r="I466" s="27">
        <f t="shared" ref="I466" si="327">J466+K466</f>
        <v>0</v>
      </c>
      <c r="J466" s="27"/>
      <c r="K466" s="27">
        <f>ROUND(H466*E466,2)</f>
        <v>0</v>
      </c>
      <c r="L466" s="30" t="s">
        <v>11</v>
      </c>
      <c r="N466" s="4"/>
    </row>
    <row r="467" spans="1:14" x14ac:dyDescent="0.25">
      <c r="A467" s="23" t="str">
        <f>IF(TRIM(E467)&lt;&gt;"",COUNTA($E$10:E467)&amp;"","")</f>
        <v>447</v>
      </c>
      <c r="B467" s="18" t="s">
        <v>52</v>
      </c>
      <c r="C467" s="19" t="s">
        <v>0</v>
      </c>
      <c r="D467" s="20"/>
      <c r="E467" s="21">
        <v>2</v>
      </c>
      <c r="F467" s="21">
        <f>G467+H467</f>
        <v>0</v>
      </c>
      <c r="G467" s="89"/>
      <c r="H467" s="21"/>
      <c r="I467" s="21">
        <f>J467+K467</f>
        <v>0</v>
      </c>
      <c r="J467" s="39">
        <f>ROUND(G467*E467,2)</f>
        <v>0</v>
      </c>
      <c r="K467" s="21"/>
      <c r="L467" s="22"/>
      <c r="N467" s="4"/>
    </row>
    <row r="468" spans="1:14" ht="25.5" x14ac:dyDescent="0.25">
      <c r="A468" s="23" t="str">
        <f>IF(TRIM(E468)&lt;&gt;"",COUNTA($E$10:E468)&amp;"","")</f>
        <v>448</v>
      </c>
      <c r="B468" s="31" t="s">
        <v>49</v>
      </c>
      <c r="C468" s="25" t="s">
        <v>0</v>
      </c>
      <c r="D468" s="26">
        <v>0.15</v>
      </c>
      <c r="E468" s="27">
        <f>ROUNDUP(D468*E467,0)</f>
        <v>1</v>
      </c>
      <c r="F468" s="27">
        <f t="shared" ref="F468:F469" si="328">G468+H468</f>
        <v>0</v>
      </c>
      <c r="G468" s="27"/>
      <c r="H468" s="90"/>
      <c r="I468" s="27">
        <f t="shared" ref="I468:I469" si="329">J468+K468</f>
        <v>0</v>
      </c>
      <c r="J468" s="27"/>
      <c r="K468" s="27">
        <f t="shared" ref="K468:K469" si="330">ROUND(H468*E468,2)</f>
        <v>0</v>
      </c>
      <c r="L468" s="30" t="s">
        <v>11</v>
      </c>
      <c r="N468" s="4"/>
    </row>
    <row r="469" spans="1:14" ht="25.5" x14ac:dyDescent="0.25">
      <c r="A469" s="23" t="str">
        <f>IF(TRIM(E469)&lt;&gt;"",COUNTA($E$10:E469)&amp;"","")</f>
        <v>449</v>
      </c>
      <c r="B469" s="24" t="s">
        <v>55</v>
      </c>
      <c r="C469" s="25" t="s">
        <v>0</v>
      </c>
      <c r="D469" s="26">
        <v>1</v>
      </c>
      <c r="E469" s="27">
        <f>E467*D469</f>
        <v>2</v>
      </c>
      <c r="F469" s="27">
        <f t="shared" si="328"/>
        <v>0</v>
      </c>
      <c r="G469" s="27"/>
      <c r="H469" s="90"/>
      <c r="I469" s="27">
        <f t="shared" si="329"/>
        <v>0</v>
      </c>
      <c r="J469" s="27"/>
      <c r="K469" s="27">
        <f t="shared" si="330"/>
        <v>0</v>
      </c>
      <c r="L469" s="30" t="s">
        <v>11</v>
      </c>
      <c r="N469" s="4"/>
    </row>
    <row r="470" spans="1:14" x14ac:dyDescent="0.25">
      <c r="A470" s="23" t="str">
        <f>IF(TRIM(E470)&lt;&gt;"",COUNTA($E$10:E470)&amp;"","")</f>
        <v>450</v>
      </c>
      <c r="B470" s="18" t="s">
        <v>56</v>
      </c>
      <c r="C470" s="19" t="s">
        <v>0</v>
      </c>
      <c r="D470" s="20"/>
      <c r="E470" s="21">
        <v>1</v>
      </c>
      <c r="F470" s="21">
        <f>G470+H470</f>
        <v>0</v>
      </c>
      <c r="G470" s="89"/>
      <c r="H470" s="21"/>
      <c r="I470" s="21">
        <f>J470+K470</f>
        <v>0</v>
      </c>
      <c r="J470" s="39">
        <f>ROUND(G470*E470,2)</f>
        <v>0</v>
      </c>
      <c r="K470" s="21"/>
      <c r="L470" s="22"/>
      <c r="N470" s="4"/>
    </row>
    <row r="471" spans="1:14" ht="25.5" x14ac:dyDescent="0.25">
      <c r="A471" s="23" t="str">
        <f>IF(TRIM(E471)&lt;&gt;"",COUNTA($E$10:E471)&amp;"","")</f>
        <v>451</v>
      </c>
      <c r="B471" s="24" t="s">
        <v>79</v>
      </c>
      <c r="C471" s="25" t="s">
        <v>0</v>
      </c>
      <c r="D471" s="26">
        <v>1</v>
      </c>
      <c r="E471" s="27">
        <f>D471*E470</f>
        <v>1</v>
      </c>
      <c r="F471" s="27">
        <f t="shared" ref="F471:F474" si="331">G471+H471</f>
        <v>0</v>
      </c>
      <c r="G471" s="27"/>
      <c r="H471" s="90"/>
      <c r="I471" s="27">
        <f t="shared" ref="I471:I474" si="332">J471+K471</f>
        <v>0</v>
      </c>
      <c r="J471" s="27"/>
      <c r="K471" s="27">
        <f t="shared" ref="K471:K474" si="333">ROUND(H471*E471,2)</f>
        <v>0</v>
      </c>
      <c r="L471" s="30" t="s">
        <v>11</v>
      </c>
      <c r="N471" s="4"/>
    </row>
    <row r="472" spans="1:14" ht="25.5" x14ac:dyDescent="0.25">
      <c r="A472" s="23" t="str">
        <f>IF(TRIM(E472)&lt;&gt;"",COUNTA($E$10:E472)&amp;"","")</f>
        <v>452</v>
      </c>
      <c r="B472" s="24" t="s">
        <v>121</v>
      </c>
      <c r="C472" s="25" t="s">
        <v>0</v>
      </c>
      <c r="D472" s="26">
        <v>1</v>
      </c>
      <c r="E472" s="27">
        <f>D472*E470</f>
        <v>1</v>
      </c>
      <c r="F472" s="27">
        <f t="shared" si="331"/>
        <v>0</v>
      </c>
      <c r="G472" s="27"/>
      <c r="H472" s="90"/>
      <c r="I472" s="27">
        <f t="shared" si="332"/>
        <v>0</v>
      </c>
      <c r="J472" s="27"/>
      <c r="K472" s="27">
        <f t="shared" si="333"/>
        <v>0</v>
      </c>
      <c r="L472" s="30" t="s">
        <v>11</v>
      </c>
      <c r="N472" s="4"/>
    </row>
    <row r="473" spans="1:14" ht="25.5" x14ac:dyDescent="0.25">
      <c r="A473" s="23" t="str">
        <f>IF(TRIM(E473)&lt;&gt;"",COUNTA($E$10:E473)&amp;"","")</f>
        <v>453</v>
      </c>
      <c r="B473" s="24" t="s">
        <v>80</v>
      </c>
      <c r="C473" s="25" t="s">
        <v>0</v>
      </c>
      <c r="D473" s="26">
        <v>1</v>
      </c>
      <c r="E473" s="27">
        <f>D473*E470</f>
        <v>1</v>
      </c>
      <c r="F473" s="27">
        <f t="shared" si="331"/>
        <v>0</v>
      </c>
      <c r="G473" s="27"/>
      <c r="H473" s="90"/>
      <c r="I473" s="27">
        <f t="shared" si="332"/>
        <v>0</v>
      </c>
      <c r="J473" s="27"/>
      <c r="K473" s="27">
        <f t="shared" si="333"/>
        <v>0</v>
      </c>
      <c r="L473" s="30" t="s">
        <v>11</v>
      </c>
      <c r="N473" s="4"/>
    </row>
    <row r="474" spans="1:14" ht="25.5" x14ac:dyDescent="0.25">
      <c r="A474" s="23" t="str">
        <f>IF(TRIM(E474)&lt;&gt;"",COUNTA($E$10:E474)&amp;"","")</f>
        <v>454</v>
      </c>
      <c r="B474" s="24" t="s">
        <v>27</v>
      </c>
      <c r="C474" s="25" t="s">
        <v>0</v>
      </c>
      <c r="D474" s="26">
        <v>2</v>
      </c>
      <c r="E474" s="27">
        <f>D474*E470</f>
        <v>2</v>
      </c>
      <c r="F474" s="27">
        <f t="shared" si="331"/>
        <v>0</v>
      </c>
      <c r="G474" s="27"/>
      <c r="H474" s="90"/>
      <c r="I474" s="27">
        <f t="shared" si="332"/>
        <v>0</v>
      </c>
      <c r="J474" s="27"/>
      <c r="K474" s="27">
        <f t="shared" si="333"/>
        <v>0</v>
      </c>
      <c r="L474" s="30" t="s">
        <v>11</v>
      </c>
      <c r="N474" s="4"/>
    </row>
    <row r="475" spans="1:14" x14ac:dyDescent="0.25">
      <c r="A475" s="23" t="str">
        <f>IF(TRIM(E475)&lt;&gt;"",COUNTA($E$10:E475)&amp;"","")</f>
        <v>455</v>
      </c>
      <c r="B475" s="43" t="s">
        <v>171</v>
      </c>
      <c r="C475" s="19" t="s">
        <v>0</v>
      </c>
      <c r="D475" s="38"/>
      <c r="E475" s="21">
        <v>1</v>
      </c>
      <c r="F475" s="21">
        <f>G475+H475</f>
        <v>0</v>
      </c>
      <c r="G475" s="89"/>
      <c r="H475" s="21"/>
      <c r="I475" s="21">
        <f>J475+K475</f>
        <v>0</v>
      </c>
      <c r="J475" s="39">
        <f>ROUND(G475*E475,2)</f>
        <v>0</v>
      </c>
      <c r="K475" s="21"/>
      <c r="L475" s="40"/>
      <c r="N475" s="4"/>
    </row>
    <row r="476" spans="1:14" ht="25.5" x14ac:dyDescent="0.25">
      <c r="A476" s="23" t="str">
        <f>IF(TRIM(E476)&lt;&gt;"",COUNTA($E$10:E476)&amp;"","")</f>
        <v>456</v>
      </c>
      <c r="B476" s="31" t="s">
        <v>93</v>
      </c>
      <c r="C476" s="25" t="s">
        <v>3</v>
      </c>
      <c r="D476" s="37">
        <v>1.03</v>
      </c>
      <c r="E476" s="44">
        <f>ROUND((2.863*4.81)*2*D476*E475,2)</f>
        <v>28.37</v>
      </c>
      <c r="F476" s="27">
        <f t="shared" ref="F476:F487" si="334">G476+H476</f>
        <v>0</v>
      </c>
      <c r="G476" s="27"/>
      <c r="H476" s="90"/>
      <c r="I476" s="27">
        <f t="shared" ref="I476:I487" si="335">J476+K476</f>
        <v>0</v>
      </c>
      <c r="J476" s="27"/>
      <c r="K476" s="27">
        <f t="shared" ref="K476:K487" si="336">ROUND(H476*E476,2)</f>
        <v>0</v>
      </c>
      <c r="L476" s="30" t="s">
        <v>11</v>
      </c>
      <c r="N476" s="4"/>
    </row>
    <row r="477" spans="1:14" ht="25.5" x14ac:dyDescent="0.25">
      <c r="A477" s="23" t="str">
        <f>IF(TRIM(E477)&lt;&gt;"",COUNTA($E$10:E477)&amp;"","")</f>
        <v>457</v>
      </c>
      <c r="B477" s="31" t="s">
        <v>94</v>
      </c>
      <c r="C477" s="25" t="s">
        <v>3</v>
      </c>
      <c r="D477" s="37">
        <v>1.03</v>
      </c>
      <c r="E477" s="45">
        <f>ROUND((0.343*4.81)*2*D477*E475,2)</f>
        <v>3.4</v>
      </c>
      <c r="F477" s="27">
        <f t="shared" si="334"/>
        <v>0</v>
      </c>
      <c r="G477" s="27"/>
      <c r="H477" s="90"/>
      <c r="I477" s="27">
        <f t="shared" si="335"/>
        <v>0</v>
      </c>
      <c r="J477" s="27"/>
      <c r="K477" s="27">
        <f t="shared" si="336"/>
        <v>0</v>
      </c>
      <c r="L477" s="30" t="s">
        <v>11</v>
      </c>
      <c r="N477" s="4"/>
    </row>
    <row r="478" spans="1:14" ht="25.5" x14ac:dyDescent="0.25">
      <c r="A478" s="23" t="str">
        <f>IF(TRIM(E478)&lt;&gt;"",COUNTA($E$10:E478)&amp;"","")</f>
        <v>458</v>
      </c>
      <c r="B478" s="31" t="s">
        <v>95</v>
      </c>
      <c r="C478" s="25" t="s">
        <v>3</v>
      </c>
      <c r="D478" s="37">
        <v>1.03</v>
      </c>
      <c r="E478" s="45">
        <f>ROUND((0.48*4.81)*10*D478*E475,2)</f>
        <v>23.78</v>
      </c>
      <c r="F478" s="27">
        <f t="shared" si="334"/>
        <v>0</v>
      </c>
      <c r="G478" s="27"/>
      <c r="H478" s="90"/>
      <c r="I478" s="27">
        <f t="shared" si="335"/>
        <v>0</v>
      </c>
      <c r="J478" s="27"/>
      <c r="K478" s="27">
        <f t="shared" si="336"/>
        <v>0</v>
      </c>
      <c r="L478" s="30" t="s">
        <v>11</v>
      </c>
      <c r="N478" s="4"/>
    </row>
    <row r="479" spans="1:14" ht="25.5" x14ac:dyDescent="0.25">
      <c r="A479" s="23" t="str">
        <f>IF(TRIM(E479)&lt;&gt;"",COUNTA($E$10:E479)&amp;"","")</f>
        <v>459</v>
      </c>
      <c r="B479" s="31" t="s">
        <v>58</v>
      </c>
      <c r="C479" s="25" t="s">
        <v>3</v>
      </c>
      <c r="D479" s="37">
        <v>1.03</v>
      </c>
      <c r="E479" s="45">
        <f>ROUND((0.3*4.81)*2*D479*E475,2)</f>
        <v>2.97</v>
      </c>
      <c r="F479" s="27">
        <f t="shared" si="334"/>
        <v>0</v>
      </c>
      <c r="G479" s="27"/>
      <c r="H479" s="90"/>
      <c r="I479" s="27">
        <f t="shared" si="335"/>
        <v>0</v>
      </c>
      <c r="J479" s="27"/>
      <c r="K479" s="27">
        <f t="shared" si="336"/>
        <v>0</v>
      </c>
      <c r="L479" s="30" t="s">
        <v>11</v>
      </c>
      <c r="N479" s="4"/>
    </row>
    <row r="480" spans="1:14" ht="25.5" x14ac:dyDescent="0.25">
      <c r="A480" s="23" t="str">
        <f>IF(TRIM(E480)&lt;&gt;"",COUNTA($E$10:E480)&amp;"","")</f>
        <v>460</v>
      </c>
      <c r="B480" s="31" t="s">
        <v>59</v>
      </c>
      <c r="C480" s="25" t="s">
        <v>3</v>
      </c>
      <c r="D480" s="32">
        <v>1.03</v>
      </c>
      <c r="E480" s="45">
        <f>ROUND(5.55*0.73*8*D480*E475,2)</f>
        <v>33.380000000000003</v>
      </c>
      <c r="F480" s="27">
        <f t="shared" si="334"/>
        <v>0</v>
      </c>
      <c r="G480" s="27"/>
      <c r="H480" s="90"/>
      <c r="I480" s="27">
        <f t="shared" si="335"/>
        <v>0</v>
      </c>
      <c r="J480" s="27"/>
      <c r="K480" s="27">
        <f t="shared" si="336"/>
        <v>0</v>
      </c>
      <c r="L480" s="30" t="s">
        <v>11</v>
      </c>
      <c r="N480" s="4"/>
    </row>
    <row r="481" spans="1:14" ht="25.5" x14ac:dyDescent="0.25">
      <c r="A481" s="23" t="str">
        <f>IF(TRIM(E481)&lt;&gt;"",COUNTA($E$10:E481)&amp;"","")</f>
        <v>461</v>
      </c>
      <c r="B481" s="31" t="s">
        <v>122</v>
      </c>
      <c r="C481" s="25" t="s">
        <v>3</v>
      </c>
      <c r="D481" s="32">
        <v>1.03</v>
      </c>
      <c r="E481" s="45">
        <f>ROUND(4.43*2.48*2*D481*E475,2)</f>
        <v>22.63</v>
      </c>
      <c r="F481" s="27">
        <f t="shared" si="334"/>
        <v>0</v>
      </c>
      <c r="G481" s="27"/>
      <c r="H481" s="90"/>
      <c r="I481" s="27">
        <f t="shared" si="335"/>
        <v>0</v>
      </c>
      <c r="J481" s="27"/>
      <c r="K481" s="27">
        <f t="shared" si="336"/>
        <v>0</v>
      </c>
      <c r="L481" s="30" t="s">
        <v>11</v>
      </c>
      <c r="N481" s="4"/>
    </row>
    <row r="482" spans="1:14" ht="25.5" x14ac:dyDescent="0.25">
      <c r="A482" s="23" t="str">
        <f>IF(TRIM(E482)&lt;&gt;"",COUNTA($E$10:E482)&amp;"","")</f>
        <v>462</v>
      </c>
      <c r="B482" s="31" t="s">
        <v>60</v>
      </c>
      <c r="C482" s="25" t="s">
        <v>0</v>
      </c>
      <c r="D482" s="37">
        <v>1</v>
      </c>
      <c r="E482" s="46">
        <f>40*E475</f>
        <v>40</v>
      </c>
      <c r="F482" s="27">
        <f t="shared" si="334"/>
        <v>0</v>
      </c>
      <c r="G482" s="27"/>
      <c r="H482" s="90"/>
      <c r="I482" s="27">
        <f t="shared" si="335"/>
        <v>0</v>
      </c>
      <c r="J482" s="27"/>
      <c r="K482" s="27">
        <f t="shared" si="336"/>
        <v>0</v>
      </c>
      <c r="L482" s="30" t="s">
        <v>11</v>
      </c>
      <c r="N482" s="4"/>
    </row>
    <row r="483" spans="1:14" ht="25.5" x14ac:dyDescent="0.25">
      <c r="A483" s="23" t="str">
        <f>IF(TRIM(E483)&lt;&gt;"",COUNTA($E$10:E483)&amp;"","")</f>
        <v>463</v>
      </c>
      <c r="B483" s="31" t="s">
        <v>61</v>
      </c>
      <c r="C483" s="25" t="s">
        <v>3</v>
      </c>
      <c r="D483" s="37">
        <v>1.03</v>
      </c>
      <c r="E483" s="45">
        <f>ROUND((0.15*0.12*78.5)*8*D483*E475,2)</f>
        <v>11.64</v>
      </c>
      <c r="F483" s="27">
        <f t="shared" si="334"/>
        <v>0</v>
      </c>
      <c r="G483" s="27"/>
      <c r="H483" s="90"/>
      <c r="I483" s="27">
        <f t="shared" si="335"/>
        <v>0</v>
      </c>
      <c r="J483" s="27"/>
      <c r="K483" s="27">
        <f t="shared" si="336"/>
        <v>0</v>
      </c>
      <c r="L483" s="30" t="s">
        <v>11</v>
      </c>
      <c r="N483" s="4"/>
    </row>
    <row r="484" spans="1:14" ht="25.5" x14ac:dyDescent="0.25">
      <c r="A484" s="23" t="str">
        <f>IF(TRIM(E484)&lt;&gt;"",COUNTA($E$10:E484)&amp;"","")</f>
        <v>464</v>
      </c>
      <c r="B484" s="47" t="s">
        <v>96</v>
      </c>
      <c r="C484" s="25" t="s">
        <v>3</v>
      </c>
      <c r="D484" s="37">
        <v>1.03</v>
      </c>
      <c r="E484" s="45">
        <f>ROUND((1.19*0.73*39.25)*1*D484*E475,2)</f>
        <v>35.119999999999997</v>
      </c>
      <c r="F484" s="27">
        <f t="shared" si="334"/>
        <v>0</v>
      </c>
      <c r="G484" s="27"/>
      <c r="H484" s="90"/>
      <c r="I484" s="27">
        <f t="shared" si="335"/>
        <v>0</v>
      </c>
      <c r="J484" s="27"/>
      <c r="K484" s="27">
        <f t="shared" si="336"/>
        <v>0</v>
      </c>
      <c r="L484" s="30" t="s">
        <v>11</v>
      </c>
      <c r="N484" s="4"/>
    </row>
    <row r="485" spans="1:14" ht="25.5" x14ac:dyDescent="0.25">
      <c r="A485" s="23" t="str">
        <f>IF(TRIM(E485)&lt;&gt;"",COUNTA($E$10:E485)&amp;"","")</f>
        <v>465</v>
      </c>
      <c r="B485" s="31" t="s">
        <v>97</v>
      </c>
      <c r="C485" s="25" t="s">
        <v>3</v>
      </c>
      <c r="D485" s="37">
        <v>1.03</v>
      </c>
      <c r="E485" s="45">
        <f>ROUND((1.19*4.81)*2*D485*E475,2)</f>
        <v>11.79</v>
      </c>
      <c r="F485" s="27">
        <f t="shared" si="334"/>
        <v>0</v>
      </c>
      <c r="G485" s="27"/>
      <c r="H485" s="90"/>
      <c r="I485" s="27">
        <f t="shared" si="335"/>
        <v>0</v>
      </c>
      <c r="J485" s="27"/>
      <c r="K485" s="27">
        <f t="shared" si="336"/>
        <v>0</v>
      </c>
      <c r="L485" s="30" t="s">
        <v>11</v>
      </c>
      <c r="N485" s="4"/>
    </row>
    <row r="486" spans="1:14" ht="25.5" x14ac:dyDescent="0.25">
      <c r="A486" s="23" t="str">
        <f>IF(TRIM(E486)&lt;&gt;"",COUNTA($E$10:E486)&amp;"","")</f>
        <v>466</v>
      </c>
      <c r="B486" s="31" t="s">
        <v>62</v>
      </c>
      <c r="C486" s="25" t="s">
        <v>3</v>
      </c>
      <c r="D486" s="37">
        <v>1.03</v>
      </c>
      <c r="E486" s="45">
        <f>ROUND((0.73*4.81)*2*D486*E475,2)</f>
        <v>7.23</v>
      </c>
      <c r="F486" s="27">
        <f t="shared" si="334"/>
        <v>0</v>
      </c>
      <c r="G486" s="27"/>
      <c r="H486" s="90"/>
      <c r="I486" s="27">
        <f t="shared" si="335"/>
        <v>0</v>
      </c>
      <c r="J486" s="27"/>
      <c r="K486" s="27">
        <f t="shared" si="336"/>
        <v>0</v>
      </c>
      <c r="L486" s="30" t="s">
        <v>11</v>
      </c>
      <c r="N486" s="4"/>
    </row>
    <row r="487" spans="1:14" ht="25.5" x14ac:dyDescent="0.25">
      <c r="A487" s="23" t="str">
        <f>IF(TRIM(E487)&lt;&gt;"",COUNTA($E$10:E487)&amp;"","")</f>
        <v>467</v>
      </c>
      <c r="B487" s="31" t="s">
        <v>98</v>
      </c>
      <c r="C487" s="25" t="s">
        <v>3</v>
      </c>
      <c r="D487" s="37">
        <v>1.03</v>
      </c>
      <c r="E487" s="45">
        <f>ROUND((0.29*4.81)*2*D487*E475,2)</f>
        <v>2.87</v>
      </c>
      <c r="F487" s="27">
        <f t="shared" si="334"/>
        <v>0</v>
      </c>
      <c r="G487" s="27"/>
      <c r="H487" s="90"/>
      <c r="I487" s="27">
        <f t="shared" si="335"/>
        <v>0</v>
      </c>
      <c r="J487" s="27"/>
      <c r="K487" s="27">
        <f t="shared" si="336"/>
        <v>0</v>
      </c>
      <c r="L487" s="30" t="s">
        <v>11</v>
      </c>
      <c r="N487" s="4"/>
    </row>
    <row r="488" spans="1:14" ht="25.5" x14ac:dyDescent="0.25">
      <c r="A488" s="23" t="str">
        <f>IF(TRIM(E488)&lt;&gt;"",COUNTA($E$10:E488)&amp;"","")</f>
        <v>468</v>
      </c>
      <c r="B488" s="43" t="s">
        <v>114</v>
      </c>
      <c r="C488" s="19" t="s">
        <v>1</v>
      </c>
      <c r="D488" s="38"/>
      <c r="E488" s="21">
        <f>(8.7+2.2+1.26+1.1)/2*E475</f>
        <v>6.629999999999999</v>
      </c>
      <c r="F488" s="21">
        <f>G488+H488</f>
        <v>0</v>
      </c>
      <c r="G488" s="89"/>
      <c r="H488" s="21"/>
      <c r="I488" s="21">
        <f>J488+K488</f>
        <v>0</v>
      </c>
      <c r="J488" s="39">
        <f>ROUND(G488*E488,2)</f>
        <v>0</v>
      </c>
      <c r="K488" s="21"/>
      <c r="L488" s="40"/>
      <c r="N488" s="4"/>
    </row>
    <row r="489" spans="1:14" ht="25.5" x14ac:dyDescent="0.25">
      <c r="A489" s="23" t="str">
        <f>IF(TRIM(E489)&lt;&gt;"",COUNTA($E$10:E489)&amp;"","")</f>
        <v>469</v>
      </c>
      <c r="B489" s="31" t="s">
        <v>63</v>
      </c>
      <c r="C489" s="25" t="s">
        <v>3</v>
      </c>
      <c r="D489" s="37">
        <v>0.24</v>
      </c>
      <c r="E489" s="45">
        <f>ROUND((8.7+2.2+1.26+1.1)/2*D489*E475,2)</f>
        <v>1.59</v>
      </c>
      <c r="F489" s="27">
        <f t="shared" ref="F489:F490" si="337">G489+H489</f>
        <v>0</v>
      </c>
      <c r="G489" s="27"/>
      <c r="H489" s="90"/>
      <c r="I489" s="27">
        <f t="shared" ref="I489:I490" si="338">J489+K489</f>
        <v>0</v>
      </c>
      <c r="J489" s="27"/>
      <c r="K489" s="27">
        <f t="shared" ref="K489:K490" si="339">ROUND(H489*E489,2)</f>
        <v>0</v>
      </c>
      <c r="L489" s="30" t="s">
        <v>11</v>
      </c>
      <c r="N489" s="4"/>
    </row>
    <row r="490" spans="1:14" ht="25.5" x14ac:dyDescent="0.25">
      <c r="A490" s="23" t="str">
        <f>IF(TRIM(E490)&lt;&gt;"",COUNTA($E$10:E490)&amp;"","")</f>
        <v>470</v>
      </c>
      <c r="B490" s="31" t="s">
        <v>64</v>
      </c>
      <c r="C490" s="25" t="s">
        <v>3</v>
      </c>
      <c r="D490" s="37">
        <v>0.3</v>
      </c>
      <c r="E490" s="45">
        <f>ROUND((8.7+2.2+1.26+1.1)/2*D490*E475,2)</f>
        <v>1.99</v>
      </c>
      <c r="F490" s="27">
        <f t="shared" si="337"/>
        <v>0</v>
      </c>
      <c r="G490" s="27"/>
      <c r="H490" s="90"/>
      <c r="I490" s="27">
        <f t="shared" si="338"/>
        <v>0</v>
      </c>
      <c r="J490" s="27"/>
      <c r="K490" s="27">
        <f t="shared" si="339"/>
        <v>0</v>
      </c>
      <c r="L490" s="30" t="s">
        <v>11</v>
      </c>
      <c r="N490" s="4"/>
    </row>
    <row r="491" spans="1:14" x14ac:dyDescent="0.25">
      <c r="A491" s="23" t="str">
        <f>IF(TRIM(E491)&lt;&gt;"",COUNTA($E$10:E491)&amp;"","")</f>
        <v>471</v>
      </c>
      <c r="B491" s="18" t="s">
        <v>123</v>
      </c>
      <c r="C491" s="19" t="s">
        <v>23</v>
      </c>
      <c r="D491" s="20"/>
      <c r="E491" s="21">
        <f>12.3+75.19+49.18+19.46</f>
        <v>156.13</v>
      </c>
      <c r="F491" s="21">
        <f>G491+H491</f>
        <v>0</v>
      </c>
      <c r="G491" s="89"/>
      <c r="H491" s="21"/>
      <c r="I491" s="21">
        <f>J491+K491</f>
        <v>0</v>
      </c>
      <c r="J491" s="39">
        <f>ROUND(G491*E491,2)</f>
        <v>0</v>
      </c>
      <c r="K491" s="21"/>
      <c r="L491" s="22"/>
      <c r="M491" s="5"/>
      <c r="N491" s="4"/>
    </row>
    <row r="492" spans="1:14" ht="25.5" x14ac:dyDescent="0.25">
      <c r="A492" s="23" t="str">
        <f>IF(TRIM(E492)&lt;&gt;"",COUNTA($E$10:E492)&amp;"","")</f>
        <v>472</v>
      </c>
      <c r="B492" s="24" t="s">
        <v>25</v>
      </c>
      <c r="C492" s="26" t="s">
        <v>0</v>
      </c>
      <c r="D492" s="26">
        <v>5</v>
      </c>
      <c r="E492" s="41">
        <f>ROUND(E491*D492,0)</f>
        <v>781</v>
      </c>
      <c r="F492" s="27">
        <f t="shared" ref="F492:F501" si="340">G492+H492</f>
        <v>0</v>
      </c>
      <c r="G492" s="27"/>
      <c r="H492" s="90"/>
      <c r="I492" s="27">
        <f t="shared" ref="I492:I501" si="341">J492+K492</f>
        <v>0</v>
      </c>
      <c r="J492" s="27"/>
      <c r="K492" s="27">
        <f t="shared" ref="K492:K501" si="342">ROUND(H492*E492,2)</f>
        <v>0</v>
      </c>
      <c r="L492" s="26" t="s">
        <v>11</v>
      </c>
      <c r="N492" s="4"/>
    </row>
    <row r="493" spans="1:14" ht="25.5" x14ac:dyDescent="0.25">
      <c r="A493" s="23" t="str">
        <f>IF(TRIM(E493)&lt;&gt;"",COUNTA($E$10:E493)&amp;"","")</f>
        <v>473</v>
      </c>
      <c r="B493" s="24" t="s">
        <v>99</v>
      </c>
      <c r="C493" s="25" t="s">
        <v>23</v>
      </c>
      <c r="D493" s="26">
        <v>1.1000000000000001</v>
      </c>
      <c r="E493" s="27">
        <f>12.3*D493</f>
        <v>13.530000000000001</v>
      </c>
      <c r="F493" s="27">
        <f t="shared" si="340"/>
        <v>0</v>
      </c>
      <c r="G493" s="27"/>
      <c r="H493" s="90"/>
      <c r="I493" s="27">
        <f t="shared" si="341"/>
        <v>0</v>
      </c>
      <c r="J493" s="27"/>
      <c r="K493" s="27">
        <f t="shared" si="342"/>
        <v>0</v>
      </c>
      <c r="L493" s="28" t="s">
        <v>11</v>
      </c>
      <c r="N493" s="4"/>
    </row>
    <row r="494" spans="1:14" ht="25.5" x14ac:dyDescent="0.25">
      <c r="A494" s="23" t="str">
        <f>IF(TRIM(E494)&lt;&gt;"",COUNTA($E$10:E494)&amp;"","")</f>
        <v>474</v>
      </c>
      <c r="B494" s="24" t="s">
        <v>100</v>
      </c>
      <c r="C494" s="25" t="s">
        <v>23</v>
      </c>
      <c r="D494" s="26">
        <v>1.1000000000000001</v>
      </c>
      <c r="E494" s="27">
        <f>75.19*D494</f>
        <v>82.709000000000003</v>
      </c>
      <c r="F494" s="27">
        <f t="shared" si="340"/>
        <v>0</v>
      </c>
      <c r="G494" s="27"/>
      <c r="H494" s="90"/>
      <c r="I494" s="27">
        <f t="shared" si="341"/>
        <v>0</v>
      </c>
      <c r="J494" s="27"/>
      <c r="K494" s="27">
        <f t="shared" si="342"/>
        <v>0</v>
      </c>
      <c r="L494" s="28" t="s">
        <v>11</v>
      </c>
      <c r="N494" s="4"/>
    </row>
    <row r="495" spans="1:14" ht="25.5" x14ac:dyDescent="0.25">
      <c r="A495" s="23" t="str">
        <f>IF(TRIM(E495)&lt;&gt;"",COUNTA($E$10:E495)&amp;"","")</f>
        <v>475</v>
      </c>
      <c r="B495" s="24" t="s">
        <v>103</v>
      </c>
      <c r="C495" s="25" t="s">
        <v>23</v>
      </c>
      <c r="D495" s="26">
        <v>1.1000000000000001</v>
      </c>
      <c r="E495" s="27">
        <f>49.18*D495</f>
        <v>54.098000000000006</v>
      </c>
      <c r="F495" s="27">
        <f t="shared" si="340"/>
        <v>0</v>
      </c>
      <c r="G495" s="27"/>
      <c r="H495" s="90"/>
      <c r="I495" s="27">
        <f t="shared" si="341"/>
        <v>0</v>
      </c>
      <c r="J495" s="27"/>
      <c r="K495" s="27">
        <f t="shared" si="342"/>
        <v>0</v>
      </c>
      <c r="L495" s="28" t="s">
        <v>11</v>
      </c>
      <c r="N495" s="4"/>
    </row>
    <row r="496" spans="1:14" ht="25.5" x14ac:dyDescent="0.25">
      <c r="A496" s="23" t="str">
        <f>IF(TRIM(E496)&lt;&gt;"",COUNTA($E$10:E496)&amp;"","")</f>
        <v>476</v>
      </c>
      <c r="B496" s="24" t="s">
        <v>112</v>
      </c>
      <c r="C496" s="25" t="s">
        <v>23</v>
      </c>
      <c r="D496" s="26">
        <v>1.1000000000000001</v>
      </c>
      <c r="E496" s="27">
        <f>19.46*D496</f>
        <v>21.406000000000002</v>
      </c>
      <c r="F496" s="27">
        <f t="shared" si="340"/>
        <v>0</v>
      </c>
      <c r="G496" s="27"/>
      <c r="H496" s="90"/>
      <c r="I496" s="27">
        <f t="shared" si="341"/>
        <v>0</v>
      </c>
      <c r="J496" s="27"/>
      <c r="K496" s="27">
        <f t="shared" si="342"/>
        <v>0</v>
      </c>
      <c r="L496" s="28" t="s">
        <v>11</v>
      </c>
      <c r="N496" s="4"/>
    </row>
    <row r="497" spans="1:14" ht="25.5" x14ac:dyDescent="0.25">
      <c r="A497" s="23" t="str">
        <f>IF(TRIM(E497)&lt;&gt;"",COUNTA($E$10:E497)&amp;"","")</f>
        <v>477</v>
      </c>
      <c r="B497" s="24" t="s">
        <v>105</v>
      </c>
      <c r="C497" s="25" t="s">
        <v>0</v>
      </c>
      <c r="D497" s="26">
        <v>1</v>
      </c>
      <c r="E497" s="27">
        <v>20</v>
      </c>
      <c r="F497" s="27">
        <f t="shared" si="340"/>
        <v>0</v>
      </c>
      <c r="G497" s="27"/>
      <c r="H497" s="90"/>
      <c r="I497" s="27">
        <f t="shared" si="341"/>
        <v>0</v>
      </c>
      <c r="J497" s="27"/>
      <c r="K497" s="27">
        <f t="shared" si="342"/>
        <v>0</v>
      </c>
      <c r="L497" s="30" t="s">
        <v>11</v>
      </c>
      <c r="M497" s="6"/>
      <c r="N497" s="4"/>
    </row>
    <row r="498" spans="1:14" ht="25.5" x14ac:dyDescent="0.25">
      <c r="A498" s="23" t="str">
        <f>IF(TRIM(E498)&lt;&gt;"",COUNTA($E$10:E498)&amp;"","")</f>
        <v>478</v>
      </c>
      <c r="B498" s="24" t="s">
        <v>106</v>
      </c>
      <c r="C498" s="25" t="s">
        <v>0</v>
      </c>
      <c r="D498" s="26">
        <v>1</v>
      </c>
      <c r="E498" s="27">
        <v>117</v>
      </c>
      <c r="F498" s="27">
        <f t="shared" si="340"/>
        <v>0</v>
      </c>
      <c r="G498" s="27"/>
      <c r="H498" s="90"/>
      <c r="I498" s="27">
        <f t="shared" si="341"/>
        <v>0</v>
      </c>
      <c r="J498" s="27"/>
      <c r="K498" s="27">
        <f t="shared" si="342"/>
        <v>0</v>
      </c>
      <c r="L498" s="30" t="s">
        <v>11</v>
      </c>
      <c r="M498" s="6"/>
      <c r="N498" s="4"/>
    </row>
    <row r="499" spans="1:14" ht="25.5" x14ac:dyDescent="0.25">
      <c r="A499" s="23" t="str">
        <f>IF(TRIM(E499)&lt;&gt;"",COUNTA($E$10:E499)&amp;"","")</f>
        <v>479</v>
      </c>
      <c r="B499" s="24" t="s">
        <v>109</v>
      </c>
      <c r="C499" s="25" t="s">
        <v>0</v>
      </c>
      <c r="D499" s="26">
        <v>1</v>
      </c>
      <c r="E499" s="27">
        <v>74</v>
      </c>
      <c r="F499" s="27">
        <f t="shared" si="340"/>
        <v>0</v>
      </c>
      <c r="G499" s="27"/>
      <c r="H499" s="90"/>
      <c r="I499" s="27">
        <f t="shared" si="341"/>
        <v>0</v>
      </c>
      <c r="J499" s="27"/>
      <c r="K499" s="27">
        <f t="shared" si="342"/>
        <v>0</v>
      </c>
      <c r="L499" s="30" t="s">
        <v>11</v>
      </c>
      <c r="M499" s="6"/>
      <c r="N499" s="4"/>
    </row>
    <row r="500" spans="1:14" ht="25.5" x14ac:dyDescent="0.25">
      <c r="A500" s="23" t="str">
        <f>IF(TRIM(E500)&lt;&gt;"",COUNTA($E$10:E500)&amp;"","")</f>
        <v>480</v>
      </c>
      <c r="B500" s="24" t="s">
        <v>111</v>
      </c>
      <c r="C500" s="25" t="s">
        <v>0</v>
      </c>
      <c r="D500" s="26">
        <v>1</v>
      </c>
      <c r="E500" s="27">
        <v>3</v>
      </c>
      <c r="F500" s="27">
        <f t="shared" si="340"/>
        <v>0</v>
      </c>
      <c r="G500" s="27"/>
      <c r="H500" s="90"/>
      <c r="I500" s="27">
        <f t="shared" si="341"/>
        <v>0</v>
      </c>
      <c r="J500" s="27"/>
      <c r="K500" s="27">
        <f t="shared" si="342"/>
        <v>0</v>
      </c>
      <c r="L500" s="30" t="s">
        <v>11</v>
      </c>
      <c r="M500" s="6"/>
      <c r="N500" s="4"/>
    </row>
    <row r="501" spans="1:14" ht="25.5" x14ac:dyDescent="0.25">
      <c r="A501" s="23" t="str">
        <f>IF(TRIM(E501)&lt;&gt;"",COUNTA($E$10:E501)&amp;"","")</f>
        <v>481</v>
      </c>
      <c r="B501" s="24" t="s">
        <v>21</v>
      </c>
      <c r="C501" s="25" t="s">
        <v>22</v>
      </c>
      <c r="D501" s="34">
        <v>1.0149999999999999</v>
      </c>
      <c r="E501" s="27">
        <f>(E491)*0.48*((0.05+0.093)/2)*D501</f>
        <v>5.438757324</v>
      </c>
      <c r="F501" s="27">
        <f t="shared" si="340"/>
        <v>0</v>
      </c>
      <c r="G501" s="27"/>
      <c r="H501" s="90"/>
      <c r="I501" s="27">
        <f t="shared" si="341"/>
        <v>0</v>
      </c>
      <c r="J501" s="27"/>
      <c r="K501" s="27">
        <f t="shared" si="342"/>
        <v>0</v>
      </c>
      <c r="L501" s="30" t="s">
        <v>11</v>
      </c>
      <c r="N501" s="4"/>
    </row>
    <row r="502" spans="1:14" x14ac:dyDescent="0.25">
      <c r="A502" s="23" t="str">
        <f>IF(TRIM(E502)&lt;&gt;"",COUNTA($E$10:E502)&amp;"","")</f>
        <v>482</v>
      </c>
      <c r="B502" s="18" t="s">
        <v>53</v>
      </c>
      <c r="C502" s="19" t="s">
        <v>23</v>
      </c>
      <c r="D502" s="20"/>
      <c r="E502" s="21">
        <v>1.61</v>
      </c>
      <c r="F502" s="21">
        <f>G502+H502</f>
        <v>0</v>
      </c>
      <c r="G502" s="89"/>
      <c r="H502" s="21"/>
      <c r="I502" s="21">
        <f>J502+K502</f>
        <v>0</v>
      </c>
      <c r="J502" s="39">
        <f>ROUND(G502*E502,2)</f>
        <v>0</v>
      </c>
      <c r="K502" s="21"/>
      <c r="L502" s="22"/>
      <c r="N502" s="4"/>
    </row>
    <row r="503" spans="1:14" ht="25.5" x14ac:dyDescent="0.25">
      <c r="A503" s="23" t="str">
        <f>IF(TRIM(E503)&lt;&gt;"",COUNTA($E$10:E503)&amp;"","")</f>
        <v>483</v>
      </c>
      <c r="B503" s="24" t="s">
        <v>25</v>
      </c>
      <c r="C503" s="26" t="s">
        <v>0</v>
      </c>
      <c r="D503" s="26">
        <v>5</v>
      </c>
      <c r="E503" s="41">
        <f>ROUND(E502*D503,0)</f>
        <v>8</v>
      </c>
      <c r="F503" s="27">
        <f t="shared" ref="F503:F504" si="343">G503+H503</f>
        <v>0</v>
      </c>
      <c r="G503" s="27"/>
      <c r="H503" s="90"/>
      <c r="I503" s="27">
        <f t="shared" ref="I503:I504" si="344">J503+K503</f>
        <v>0</v>
      </c>
      <c r="J503" s="27"/>
      <c r="K503" s="27">
        <f t="shared" ref="K503:K504" si="345">ROUND(H503*E503,2)</f>
        <v>0</v>
      </c>
      <c r="L503" s="26" t="s">
        <v>11</v>
      </c>
      <c r="N503" s="4"/>
    </row>
    <row r="504" spans="1:14" ht="25.5" x14ac:dyDescent="0.25">
      <c r="A504" s="23" t="str">
        <f>IF(TRIM(E504)&lt;&gt;"",COUNTA($E$10:E504)&amp;"","")</f>
        <v>484</v>
      </c>
      <c r="B504" s="24" t="s">
        <v>113</v>
      </c>
      <c r="C504" s="25" t="s">
        <v>23</v>
      </c>
      <c r="D504" s="26">
        <v>1.1000000000000001</v>
      </c>
      <c r="E504" s="27">
        <f>E502*D504</f>
        <v>1.7710000000000004</v>
      </c>
      <c r="F504" s="27">
        <f t="shared" si="343"/>
        <v>0</v>
      </c>
      <c r="G504" s="27"/>
      <c r="H504" s="90"/>
      <c r="I504" s="27">
        <f t="shared" si="344"/>
        <v>0</v>
      </c>
      <c r="J504" s="27"/>
      <c r="K504" s="27">
        <f t="shared" si="345"/>
        <v>0</v>
      </c>
      <c r="L504" s="28" t="s">
        <v>11</v>
      </c>
      <c r="N504" s="4"/>
    </row>
    <row r="505" spans="1:14" ht="51" x14ac:dyDescent="0.25">
      <c r="A505" s="23" t="str">
        <f>IF(TRIM(E505)&lt;&gt;"",COUNTA($E$10:E505)&amp;"","")</f>
        <v>485</v>
      </c>
      <c r="B505" s="42" t="s">
        <v>124</v>
      </c>
      <c r="C505" s="19" t="s">
        <v>0</v>
      </c>
      <c r="D505" s="20"/>
      <c r="E505" s="21">
        <f>SUM(E506:E509)</f>
        <v>6</v>
      </c>
      <c r="F505" s="21">
        <f>G505+H505</f>
        <v>0</v>
      </c>
      <c r="G505" s="89"/>
      <c r="H505" s="21"/>
      <c r="I505" s="21">
        <f>J505+K505</f>
        <v>0</v>
      </c>
      <c r="J505" s="39">
        <f>ROUND(G505*E505,2)</f>
        <v>0</v>
      </c>
      <c r="K505" s="21"/>
      <c r="L505" s="22"/>
      <c r="N505" s="4"/>
    </row>
    <row r="506" spans="1:14" ht="25.5" x14ac:dyDescent="0.25">
      <c r="A506" s="23" t="str">
        <f>IF(TRIM(E506)&lt;&gt;"",COUNTA($E$10:E506)&amp;"","")</f>
        <v>486</v>
      </c>
      <c r="B506" s="24" t="s">
        <v>177</v>
      </c>
      <c r="C506" s="25" t="s">
        <v>0</v>
      </c>
      <c r="D506" s="26">
        <v>1</v>
      </c>
      <c r="E506" s="27">
        <v>1</v>
      </c>
      <c r="F506" s="27">
        <f t="shared" ref="F506:F509" si="346">G506+H506</f>
        <v>0</v>
      </c>
      <c r="G506" s="27"/>
      <c r="H506" s="90"/>
      <c r="I506" s="27">
        <f t="shared" ref="I506:I509" si="347">J506+K506</f>
        <v>0</v>
      </c>
      <c r="J506" s="27"/>
      <c r="K506" s="27">
        <f t="shared" ref="K506:K509" si="348">ROUND(H506*E506,2)</f>
        <v>0</v>
      </c>
      <c r="L506" s="28" t="s">
        <v>11</v>
      </c>
      <c r="N506" s="4"/>
    </row>
    <row r="507" spans="1:14" ht="25.5" x14ac:dyDescent="0.25">
      <c r="A507" s="23" t="str">
        <f>IF(TRIM(E507)&lt;&gt;"",COUNTA($E$10:E507)&amp;"","")</f>
        <v>487</v>
      </c>
      <c r="B507" s="24" t="s">
        <v>178</v>
      </c>
      <c r="C507" s="25" t="s">
        <v>0</v>
      </c>
      <c r="D507" s="26">
        <v>1</v>
      </c>
      <c r="E507" s="27">
        <v>2</v>
      </c>
      <c r="F507" s="27">
        <f t="shared" si="346"/>
        <v>0</v>
      </c>
      <c r="G507" s="27"/>
      <c r="H507" s="90"/>
      <c r="I507" s="27">
        <f t="shared" si="347"/>
        <v>0</v>
      </c>
      <c r="J507" s="27"/>
      <c r="K507" s="27">
        <f t="shared" si="348"/>
        <v>0</v>
      </c>
      <c r="L507" s="28" t="s">
        <v>11</v>
      </c>
      <c r="N507" s="4"/>
    </row>
    <row r="508" spans="1:14" ht="25.5" x14ac:dyDescent="0.25">
      <c r="A508" s="23" t="str">
        <f>IF(TRIM(E508)&lt;&gt;"",COUNTA($E$10:E508)&amp;"","")</f>
        <v>488</v>
      </c>
      <c r="B508" s="24" t="s">
        <v>200</v>
      </c>
      <c r="C508" s="25" t="s">
        <v>0</v>
      </c>
      <c r="D508" s="26">
        <v>1</v>
      </c>
      <c r="E508" s="27">
        <v>1</v>
      </c>
      <c r="F508" s="27">
        <f t="shared" si="346"/>
        <v>0</v>
      </c>
      <c r="G508" s="27"/>
      <c r="H508" s="90"/>
      <c r="I508" s="27">
        <f t="shared" si="347"/>
        <v>0</v>
      </c>
      <c r="J508" s="27"/>
      <c r="K508" s="27">
        <f t="shared" si="348"/>
        <v>0</v>
      </c>
      <c r="L508" s="28" t="s">
        <v>11</v>
      </c>
      <c r="N508" s="4"/>
    </row>
    <row r="509" spans="1:14" ht="25.5" x14ac:dyDescent="0.25">
      <c r="A509" s="23" t="str">
        <f>IF(TRIM(E509)&lt;&gt;"",COUNTA($E$10:E509)&amp;"","")</f>
        <v>489</v>
      </c>
      <c r="B509" s="24" t="s">
        <v>191</v>
      </c>
      <c r="C509" s="25" t="s">
        <v>0</v>
      </c>
      <c r="D509" s="26">
        <v>1</v>
      </c>
      <c r="E509" s="27">
        <v>2</v>
      </c>
      <c r="F509" s="27">
        <f t="shared" si="346"/>
        <v>0</v>
      </c>
      <c r="G509" s="27"/>
      <c r="H509" s="90"/>
      <c r="I509" s="27">
        <f t="shared" si="347"/>
        <v>0</v>
      </c>
      <c r="J509" s="27"/>
      <c r="K509" s="27">
        <f t="shared" si="348"/>
        <v>0</v>
      </c>
      <c r="L509" s="28" t="s">
        <v>11</v>
      </c>
      <c r="N509" s="4"/>
    </row>
    <row r="510" spans="1:14" ht="51" x14ac:dyDescent="0.25">
      <c r="A510" s="23" t="str">
        <f>IF(TRIM(E510)&lt;&gt;"",COUNTA($E$10:E510)&amp;"","")</f>
        <v>490</v>
      </c>
      <c r="B510" s="18" t="s">
        <v>141</v>
      </c>
      <c r="C510" s="19" t="s">
        <v>0</v>
      </c>
      <c r="D510" s="20"/>
      <c r="E510" s="21">
        <f>SUM(E511:E511)</f>
        <v>1</v>
      </c>
      <c r="F510" s="21">
        <f>G510+H510</f>
        <v>0</v>
      </c>
      <c r="G510" s="89"/>
      <c r="H510" s="21"/>
      <c r="I510" s="21">
        <f>J510+K510</f>
        <v>0</v>
      </c>
      <c r="J510" s="39">
        <f>ROUND(G510*E510,2)</f>
        <v>0</v>
      </c>
      <c r="K510" s="21"/>
      <c r="L510" s="22"/>
      <c r="N510" s="4"/>
    </row>
    <row r="511" spans="1:14" ht="25.5" x14ac:dyDescent="0.25">
      <c r="A511" s="23" t="str">
        <f>IF(TRIM(E511)&lt;&gt;"",COUNTA($E$10:E511)&amp;"","")</f>
        <v>491</v>
      </c>
      <c r="B511" s="24" t="s">
        <v>196</v>
      </c>
      <c r="C511" s="25" t="s">
        <v>0</v>
      </c>
      <c r="D511" s="26">
        <v>1</v>
      </c>
      <c r="E511" s="27">
        <v>1</v>
      </c>
      <c r="F511" s="27">
        <f t="shared" ref="F511" si="349">G511+H511</f>
        <v>0</v>
      </c>
      <c r="G511" s="27"/>
      <c r="H511" s="90"/>
      <c r="I511" s="27">
        <f t="shared" ref="I511" si="350">J511+K511</f>
        <v>0</v>
      </c>
      <c r="J511" s="27"/>
      <c r="K511" s="27">
        <f>ROUND(H511*E511,2)</f>
        <v>0</v>
      </c>
      <c r="L511" s="28" t="s">
        <v>11</v>
      </c>
      <c r="N511" s="4"/>
    </row>
    <row r="512" spans="1:14" ht="51" x14ac:dyDescent="0.25">
      <c r="A512" s="23" t="str">
        <f>IF(TRIM(E512)&lt;&gt;"",COUNTA($E$10:E512)&amp;"","")</f>
        <v>492</v>
      </c>
      <c r="B512" s="18" t="s">
        <v>156</v>
      </c>
      <c r="C512" s="19" t="s">
        <v>0</v>
      </c>
      <c r="D512" s="20"/>
      <c r="E512" s="21">
        <f>E514+E515+E513</f>
        <v>4</v>
      </c>
      <c r="F512" s="21">
        <f>G512+H512</f>
        <v>0</v>
      </c>
      <c r="G512" s="89"/>
      <c r="H512" s="21"/>
      <c r="I512" s="21">
        <f>J512+K512</f>
        <v>0</v>
      </c>
      <c r="J512" s="39">
        <f>ROUND(G512*E512,2)</f>
        <v>0</v>
      </c>
      <c r="K512" s="21"/>
      <c r="L512" s="22"/>
      <c r="N512" s="4"/>
    </row>
    <row r="513" spans="1:14" ht="25.5" x14ac:dyDescent="0.25">
      <c r="A513" s="23" t="str">
        <f>IF(TRIM(E513)&lt;&gt;"",COUNTA($E$10:E513)&amp;"","")</f>
        <v>493</v>
      </c>
      <c r="B513" s="24" t="s">
        <v>193</v>
      </c>
      <c r="C513" s="25" t="s">
        <v>0</v>
      </c>
      <c r="D513" s="26">
        <v>1</v>
      </c>
      <c r="E513" s="27">
        <v>2</v>
      </c>
      <c r="F513" s="27">
        <f t="shared" ref="F513:F515" si="351">G513+H513</f>
        <v>0</v>
      </c>
      <c r="G513" s="27"/>
      <c r="H513" s="90"/>
      <c r="I513" s="27">
        <f t="shared" ref="I513:I515" si="352">J513+K513</f>
        <v>0</v>
      </c>
      <c r="J513" s="27"/>
      <c r="K513" s="27">
        <f t="shared" ref="K513:K515" si="353">ROUND(H513*E513,2)</f>
        <v>0</v>
      </c>
      <c r="L513" s="28" t="s">
        <v>11</v>
      </c>
      <c r="N513" s="4"/>
    </row>
    <row r="514" spans="1:14" ht="25.5" x14ac:dyDescent="0.25">
      <c r="A514" s="23" t="str">
        <f>IF(TRIM(E514)&lt;&gt;"",COUNTA($E$10:E514)&amp;"","")</f>
        <v>494</v>
      </c>
      <c r="B514" s="24" t="s">
        <v>201</v>
      </c>
      <c r="C514" s="25" t="s">
        <v>0</v>
      </c>
      <c r="D514" s="26">
        <v>1</v>
      </c>
      <c r="E514" s="27">
        <v>1</v>
      </c>
      <c r="F514" s="27">
        <f t="shared" si="351"/>
        <v>0</v>
      </c>
      <c r="G514" s="27"/>
      <c r="H514" s="90"/>
      <c r="I514" s="27">
        <f t="shared" si="352"/>
        <v>0</v>
      </c>
      <c r="J514" s="27"/>
      <c r="K514" s="27">
        <f t="shared" si="353"/>
        <v>0</v>
      </c>
      <c r="L514" s="28" t="s">
        <v>11</v>
      </c>
      <c r="N514" s="4"/>
    </row>
    <row r="515" spans="1:14" ht="25.5" x14ac:dyDescent="0.25">
      <c r="A515" s="23" t="str">
        <f>IF(TRIM(E515)&lt;&gt;"",COUNTA($E$10:E515)&amp;"","")</f>
        <v>495</v>
      </c>
      <c r="B515" s="24" t="s">
        <v>202</v>
      </c>
      <c r="C515" s="25" t="s">
        <v>0</v>
      </c>
      <c r="D515" s="26">
        <v>1</v>
      </c>
      <c r="E515" s="27">
        <v>1</v>
      </c>
      <c r="F515" s="27">
        <f t="shared" si="351"/>
        <v>0</v>
      </c>
      <c r="G515" s="27"/>
      <c r="H515" s="90"/>
      <c r="I515" s="27">
        <f t="shared" si="352"/>
        <v>0</v>
      </c>
      <c r="J515" s="27"/>
      <c r="K515" s="27">
        <f t="shared" si="353"/>
        <v>0</v>
      </c>
      <c r="L515" s="28" t="s">
        <v>11</v>
      </c>
      <c r="N515" s="4"/>
    </row>
    <row r="516" spans="1:14" ht="25.5" x14ac:dyDescent="0.25">
      <c r="A516" s="23" t="str">
        <f>IF(TRIM(E516)&lt;&gt;"",COUNTA($E$10:E516)&amp;"","")</f>
        <v>496</v>
      </c>
      <c r="B516" s="18" t="s">
        <v>157</v>
      </c>
      <c r="C516" s="76" t="s">
        <v>23</v>
      </c>
      <c r="D516" s="20"/>
      <c r="E516" s="21">
        <v>16.28</v>
      </c>
      <c r="F516" s="21">
        <f>G516+H516</f>
        <v>0</v>
      </c>
      <c r="G516" s="89"/>
      <c r="H516" s="21"/>
      <c r="I516" s="21">
        <f>J516+K516</f>
        <v>0</v>
      </c>
      <c r="J516" s="39">
        <f>ROUND(G516*E516,2)</f>
        <v>0</v>
      </c>
      <c r="K516" s="21"/>
      <c r="L516" s="22"/>
      <c r="N516" s="4"/>
    </row>
    <row r="517" spans="1:14" ht="25.5" x14ac:dyDescent="0.25">
      <c r="A517" s="23" t="str">
        <f>IF(TRIM(E517)&lt;&gt;"",COUNTA($E$10:E517)&amp;"","")</f>
        <v>497</v>
      </c>
      <c r="B517" s="24" t="s">
        <v>25</v>
      </c>
      <c r="C517" s="26" t="s">
        <v>0</v>
      </c>
      <c r="D517" s="26">
        <v>5</v>
      </c>
      <c r="E517" s="41">
        <f>ROUND(E516*D517,0)</f>
        <v>81</v>
      </c>
      <c r="F517" s="27">
        <f t="shared" ref="F517:F526" si="354">G517+H517</f>
        <v>0</v>
      </c>
      <c r="G517" s="27"/>
      <c r="H517" s="90"/>
      <c r="I517" s="27">
        <f t="shared" ref="I517:I526" si="355">J517+K517</f>
        <v>0</v>
      </c>
      <c r="J517" s="27"/>
      <c r="K517" s="27">
        <f t="shared" ref="K517:K526" si="356">ROUND(H517*E517,2)</f>
        <v>0</v>
      </c>
      <c r="L517" s="26" t="s">
        <v>11</v>
      </c>
      <c r="N517" s="4"/>
    </row>
    <row r="518" spans="1:14" ht="25.5" x14ac:dyDescent="0.25">
      <c r="A518" s="23" t="str">
        <f>IF(TRIM(E518)&lt;&gt;"",COUNTA($E$10:E518)&amp;"","")</f>
        <v>498</v>
      </c>
      <c r="B518" s="24" t="s">
        <v>159</v>
      </c>
      <c r="C518" s="25" t="s">
        <v>1</v>
      </c>
      <c r="D518" s="26">
        <v>1.1399999999999999</v>
      </c>
      <c r="E518" s="27">
        <f>E516*(0.7+0.2)*D518</f>
        <v>16.703279999999999</v>
      </c>
      <c r="F518" s="27">
        <f t="shared" si="354"/>
        <v>0</v>
      </c>
      <c r="G518" s="27"/>
      <c r="H518" s="90"/>
      <c r="I518" s="27">
        <f t="shared" si="355"/>
        <v>0</v>
      </c>
      <c r="J518" s="27"/>
      <c r="K518" s="27">
        <f t="shared" si="356"/>
        <v>0</v>
      </c>
      <c r="L518" s="30" t="s">
        <v>11</v>
      </c>
      <c r="N518" s="4"/>
    </row>
    <row r="519" spans="1:14" ht="25.5" x14ac:dyDescent="0.25">
      <c r="A519" s="23" t="str">
        <f>IF(TRIM(E519)&lt;&gt;"",COUNTA($E$10:E519)&amp;"","")</f>
        <v>499</v>
      </c>
      <c r="B519" s="24" t="s">
        <v>161</v>
      </c>
      <c r="C519" s="25" t="s">
        <v>1</v>
      </c>
      <c r="D519" s="26">
        <v>1.1399999999999999</v>
      </c>
      <c r="E519" s="27">
        <f>E516*0.7*D519</f>
        <v>12.991439999999999</v>
      </c>
      <c r="F519" s="27">
        <f t="shared" si="354"/>
        <v>0</v>
      </c>
      <c r="G519" s="27"/>
      <c r="H519" s="90"/>
      <c r="I519" s="27">
        <f t="shared" si="355"/>
        <v>0</v>
      </c>
      <c r="J519" s="27"/>
      <c r="K519" s="27">
        <f t="shared" si="356"/>
        <v>0</v>
      </c>
      <c r="L519" s="30" t="s">
        <v>11</v>
      </c>
      <c r="N519" s="4"/>
    </row>
    <row r="520" spans="1:14" ht="25.5" x14ac:dyDescent="0.25">
      <c r="A520" s="23" t="str">
        <f>IF(TRIM(E520)&lt;&gt;"",COUNTA($E$10:E520)&amp;"","")</f>
        <v>500</v>
      </c>
      <c r="B520" s="24" t="s">
        <v>160</v>
      </c>
      <c r="C520" s="25" t="s">
        <v>1</v>
      </c>
      <c r="D520" s="26">
        <v>1.1399999999999999</v>
      </c>
      <c r="E520" s="27">
        <f>E516*1.8*D520</f>
        <v>33.406559999999999</v>
      </c>
      <c r="F520" s="27">
        <f t="shared" si="354"/>
        <v>0</v>
      </c>
      <c r="G520" s="27"/>
      <c r="H520" s="90"/>
      <c r="I520" s="27">
        <f t="shared" si="355"/>
        <v>0</v>
      </c>
      <c r="J520" s="27"/>
      <c r="K520" s="27">
        <f t="shared" si="356"/>
        <v>0</v>
      </c>
      <c r="L520" s="30" t="s">
        <v>11</v>
      </c>
      <c r="N520" s="4"/>
    </row>
    <row r="521" spans="1:14" ht="25.5" x14ac:dyDescent="0.25">
      <c r="A521" s="23" t="str">
        <f>IF(TRIM(E521)&lt;&gt;"",COUNTA($E$10:E521)&amp;"","")</f>
        <v>501</v>
      </c>
      <c r="B521" s="24" t="s">
        <v>162</v>
      </c>
      <c r="C521" s="25" t="s">
        <v>22</v>
      </c>
      <c r="D521" s="26">
        <v>1.03</v>
      </c>
      <c r="E521" s="27">
        <f>E516*(0.6*0.3)*D521</f>
        <v>3.0183120000000003</v>
      </c>
      <c r="F521" s="27">
        <f t="shared" si="354"/>
        <v>0</v>
      </c>
      <c r="G521" s="27"/>
      <c r="H521" s="90"/>
      <c r="I521" s="27">
        <f t="shared" si="355"/>
        <v>0</v>
      </c>
      <c r="J521" s="27"/>
      <c r="K521" s="27">
        <f t="shared" si="356"/>
        <v>0</v>
      </c>
      <c r="L521" s="30" t="s">
        <v>11</v>
      </c>
      <c r="N521" s="4"/>
    </row>
    <row r="522" spans="1:14" ht="25.5" x14ac:dyDescent="0.25">
      <c r="A522" s="23" t="str">
        <f>IF(TRIM(E522)&lt;&gt;"",COUNTA($E$10:E522)&amp;"","")</f>
        <v>502</v>
      </c>
      <c r="B522" s="24" t="s">
        <v>158</v>
      </c>
      <c r="C522" s="25" t="s">
        <v>23</v>
      </c>
      <c r="D522" s="26">
        <v>1.1000000000000001</v>
      </c>
      <c r="E522" s="27">
        <f>16.28*D522</f>
        <v>17.908000000000001</v>
      </c>
      <c r="F522" s="27">
        <f t="shared" si="354"/>
        <v>0</v>
      </c>
      <c r="G522" s="27"/>
      <c r="H522" s="90"/>
      <c r="I522" s="27">
        <f t="shared" si="355"/>
        <v>0</v>
      </c>
      <c r="J522" s="27"/>
      <c r="K522" s="27">
        <f t="shared" si="356"/>
        <v>0</v>
      </c>
      <c r="L522" s="28" t="s">
        <v>11</v>
      </c>
      <c r="N522" s="4"/>
    </row>
    <row r="523" spans="1:14" ht="25.5" x14ac:dyDescent="0.25">
      <c r="A523" s="23" t="str">
        <f>IF(TRIM(E523)&lt;&gt;"",COUNTA($E$10:E523)&amp;"","")</f>
        <v>503</v>
      </c>
      <c r="B523" s="24" t="s">
        <v>153</v>
      </c>
      <c r="C523" s="25" t="s">
        <v>23</v>
      </c>
      <c r="D523" s="26">
        <v>1.1000000000000001</v>
      </c>
      <c r="E523" s="27">
        <f>16.28*D523</f>
        <v>17.908000000000001</v>
      </c>
      <c r="F523" s="27">
        <f t="shared" si="354"/>
        <v>0</v>
      </c>
      <c r="G523" s="27"/>
      <c r="H523" s="90"/>
      <c r="I523" s="27">
        <f t="shared" si="355"/>
        <v>0</v>
      </c>
      <c r="J523" s="27"/>
      <c r="K523" s="27">
        <f t="shared" si="356"/>
        <v>0</v>
      </c>
      <c r="L523" s="28" t="s">
        <v>11</v>
      </c>
      <c r="N523" s="4"/>
    </row>
    <row r="524" spans="1:14" ht="25.5" x14ac:dyDescent="0.25">
      <c r="A524" s="23" t="str">
        <f>IF(TRIM(E524)&lt;&gt;"",COUNTA($E$10:E524)&amp;"","")</f>
        <v>504</v>
      </c>
      <c r="B524" s="24" t="s">
        <v>154</v>
      </c>
      <c r="C524" s="25" t="s">
        <v>0</v>
      </c>
      <c r="D524" s="26">
        <v>1</v>
      </c>
      <c r="E524" s="27">
        <v>26</v>
      </c>
      <c r="F524" s="27">
        <f t="shared" si="354"/>
        <v>0</v>
      </c>
      <c r="G524" s="27"/>
      <c r="H524" s="90"/>
      <c r="I524" s="27">
        <f t="shared" si="355"/>
        <v>0</v>
      </c>
      <c r="J524" s="27"/>
      <c r="K524" s="27">
        <f t="shared" si="356"/>
        <v>0</v>
      </c>
      <c r="L524" s="30" t="s">
        <v>11</v>
      </c>
      <c r="M524" s="6"/>
      <c r="N524" s="4"/>
    </row>
    <row r="525" spans="1:14" ht="25.5" x14ac:dyDescent="0.25">
      <c r="A525" s="23" t="str">
        <f>IF(TRIM(E525)&lt;&gt;"",COUNTA($E$10:E525)&amp;"","")</f>
        <v>505</v>
      </c>
      <c r="B525" s="24" t="s">
        <v>155</v>
      </c>
      <c r="C525" s="25" t="s">
        <v>0</v>
      </c>
      <c r="D525" s="26">
        <v>1</v>
      </c>
      <c r="E525" s="27">
        <v>26</v>
      </c>
      <c r="F525" s="27">
        <f t="shared" si="354"/>
        <v>0</v>
      </c>
      <c r="G525" s="27"/>
      <c r="H525" s="90"/>
      <c r="I525" s="27">
        <f t="shared" si="355"/>
        <v>0</v>
      </c>
      <c r="J525" s="27"/>
      <c r="K525" s="27">
        <f t="shared" si="356"/>
        <v>0</v>
      </c>
      <c r="L525" s="30" t="s">
        <v>11</v>
      </c>
      <c r="M525" s="6"/>
      <c r="N525" s="4"/>
    </row>
    <row r="526" spans="1:14" ht="25.5" x14ac:dyDescent="0.25">
      <c r="A526" s="23" t="str">
        <f>IF(TRIM(E526)&lt;&gt;"",COUNTA($E$10:E526)&amp;"","")</f>
        <v>506</v>
      </c>
      <c r="B526" s="24" t="s">
        <v>21</v>
      </c>
      <c r="C526" s="25" t="s">
        <v>22</v>
      </c>
      <c r="D526" s="34">
        <v>1.0149999999999999</v>
      </c>
      <c r="E526" s="27">
        <f>(E516)*0.05*0.2*D526</f>
        <v>0.165242</v>
      </c>
      <c r="F526" s="27">
        <f t="shared" si="354"/>
        <v>0</v>
      </c>
      <c r="G526" s="27"/>
      <c r="H526" s="90"/>
      <c r="I526" s="27">
        <f t="shared" si="355"/>
        <v>0</v>
      </c>
      <c r="J526" s="27"/>
      <c r="K526" s="27">
        <f t="shared" si="356"/>
        <v>0</v>
      </c>
      <c r="L526" s="30" t="s">
        <v>11</v>
      </c>
      <c r="N526" s="4"/>
    </row>
    <row r="527" spans="1:14" s="5" customFormat="1" x14ac:dyDescent="0.25">
      <c r="A527" s="14" t="str">
        <f>IF(TRIM(E527)&lt;&gt;"",COUNTA($E$10:E527)&amp;"","")</f>
        <v/>
      </c>
      <c r="B527" s="15" t="s">
        <v>126</v>
      </c>
      <c r="C527" s="16"/>
      <c r="D527" s="17"/>
      <c r="E527" s="17"/>
      <c r="F527" s="17"/>
      <c r="G527" s="17"/>
      <c r="H527" s="17"/>
      <c r="I527" s="17"/>
      <c r="J527" s="17"/>
      <c r="K527" s="17"/>
      <c r="L527" s="16"/>
    </row>
    <row r="528" spans="1:14" ht="25.5" x14ac:dyDescent="0.25">
      <c r="A528" s="23" t="str">
        <f>IF(TRIM(E528)&lt;&gt;"",COUNTA($E$10:E528)&amp;"","")</f>
        <v>507</v>
      </c>
      <c r="B528" s="18" t="s">
        <v>127</v>
      </c>
      <c r="C528" s="19" t="s">
        <v>1</v>
      </c>
      <c r="D528" s="20"/>
      <c r="E528" s="21">
        <f>Расчет!E49</f>
        <v>4.74</v>
      </c>
      <c r="F528" s="21">
        <f>G528+H528</f>
        <v>0</v>
      </c>
      <c r="G528" s="89"/>
      <c r="H528" s="21"/>
      <c r="I528" s="21">
        <f>J528+K528</f>
        <v>0</v>
      </c>
      <c r="J528" s="39">
        <f>ROUND(G528*E528,2)</f>
        <v>0</v>
      </c>
      <c r="K528" s="21"/>
      <c r="L528" s="22"/>
      <c r="N528" s="4"/>
    </row>
    <row r="529" spans="1:14" ht="25.5" x14ac:dyDescent="0.25">
      <c r="A529" s="23" t="str">
        <f>IF(TRIM(E529)&lt;&gt;"",COUNTA($E$10:E529)&amp;"","")</f>
        <v>508</v>
      </c>
      <c r="B529" s="24" t="s">
        <v>75</v>
      </c>
      <c r="C529" s="25" t="s">
        <v>20</v>
      </c>
      <c r="D529" s="26">
        <v>0.35</v>
      </c>
      <c r="E529" s="27">
        <f>E528*D529</f>
        <v>1.659</v>
      </c>
      <c r="F529" s="27">
        <f t="shared" ref="F529" si="357">G529+H529</f>
        <v>0</v>
      </c>
      <c r="G529" s="27"/>
      <c r="H529" s="90"/>
      <c r="I529" s="27">
        <f t="shared" ref="I529" si="358">J529+K529</f>
        <v>0</v>
      </c>
      <c r="J529" s="27"/>
      <c r="K529" s="27">
        <f>ROUND(H529*E529,2)</f>
        <v>0</v>
      </c>
      <c r="L529" s="28" t="s">
        <v>11</v>
      </c>
      <c r="N529" s="4"/>
    </row>
    <row r="530" spans="1:14" x14ac:dyDescent="0.25">
      <c r="A530" s="23" t="str">
        <f>IF(TRIM(E530)&lt;&gt;"",COUNTA($E$10:E530)&amp;"","")</f>
        <v>509</v>
      </c>
      <c r="B530" s="18" t="s">
        <v>128</v>
      </c>
      <c r="C530" s="19" t="s">
        <v>1</v>
      </c>
      <c r="D530" s="20"/>
      <c r="E530" s="21">
        <f>E528</f>
        <v>4.74</v>
      </c>
      <c r="F530" s="21">
        <f>G530+H530</f>
        <v>0</v>
      </c>
      <c r="G530" s="89"/>
      <c r="H530" s="21"/>
      <c r="I530" s="21">
        <f>J530+K530</f>
        <v>0</v>
      </c>
      <c r="J530" s="39">
        <f>ROUND(G530*E530,2)</f>
        <v>0</v>
      </c>
      <c r="K530" s="21"/>
      <c r="L530" s="22"/>
      <c r="N530" s="4"/>
    </row>
    <row r="531" spans="1:14" ht="25.5" x14ac:dyDescent="0.25">
      <c r="A531" s="23" t="str">
        <f>IF(TRIM(E531)&lt;&gt;"",COUNTA($E$10:E531)&amp;"","")</f>
        <v>510</v>
      </c>
      <c r="B531" s="29" t="s">
        <v>76</v>
      </c>
      <c r="C531" s="25" t="s">
        <v>1</v>
      </c>
      <c r="D531" s="26">
        <v>1.1499999999999999</v>
      </c>
      <c r="E531" s="27">
        <f>E530*D531</f>
        <v>5.4509999999999996</v>
      </c>
      <c r="F531" s="27">
        <f t="shared" ref="F531:F532" si="359">G531+H531</f>
        <v>0</v>
      </c>
      <c r="G531" s="27"/>
      <c r="H531" s="90"/>
      <c r="I531" s="27">
        <f t="shared" ref="I531:I532" si="360">J531+K531</f>
        <v>0</v>
      </c>
      <c r="J531" s="27"/>
      <c r="K531" s="27">
        <f t="shared" ref="K531:K532" si="361">ROUND(H531*E531,2)</f>
        <v>0</v>
      </c>
      <c r="L531" s="30" t="s">
        <v>11</v>
      </c>
      <c r="N531" s="4"/>
    </row>
    <row r="532" spans="1:14" ht="25.5" x14ac:dyDescent="0.25">
      <c r="A532" s="23" t="str">
        <f>IF(TRIM(E532)&lt;&gt;"",COUNTA($E$10:E532)&amp;"","")</f>
        <v>511</v>
      </c>
      <c r="B532" s="31" t="s">
        <v>117</v>
      </c>
      <c r="C532" s="32" t="s">
        <v>3</v>
      </c>
      <c r="D532" s="33">
        <v>0.3</v>
      </c>
      <c r="E532" s="27">
        <f>E530*D532</f>
        <v>1.4219999999999999</v>
      </c>
      <c r="F532" s="27">
        <f t="shared" si="359"/>
        <v>0</v>
      </c>
      <c r="G532" s="27"/>
      <c r="H532" s="90"/>
      <c r="I532" s="27">
        <f t="shared" si="360"/>
        <v>0</v>
      </c>
      <c r="J532" s="27"/>
      <c r="K532" s="27">
        <f t="shared" si="361"/>
        <v>0</v>
      </c>
      <c r="L532" s="30" t="s">
        <v>11</v>
      </c>
      <c r="N532" s="4"/>
    </row>
    <row r="533" spans="1:14" x14ac:dyDescent="0.25">
      <c r="A533" s="23" t="str">
        <f>IF(TRIM(E533)&lt;&gt;"",COUNTA($E$10:E533)&amp;"","")</f>
        <v>512</v>
      </c>
      <c r="B533" s="18" t="s">
        <v>81</v>
      </c>
      <c r="C533" s="19" t="s">
        <v>1</v>
      </c>
      <c r="D533" s="20"/>
      <c r="E533" s="21">
        <f>E528</f>
        <v>4.74</v>
      </c>
      <c r="F533" s="21">
        <f>G533+H533</f>
        <v>0</v>
      </c>
      <c r="G533" s="89"/>
      <c r="H533" s="21"/>
      <c r="I533" s="21">
        <f>J533+K533</f>
        <v>0</v>
      </c>
      <c r="J533" s="39">
        <f>ROUND(G533*E533,2)</f>
        <v>0</v>
      </c>
      <c r="K533" s="21"/>
      <c r="L533" s="22"/>
      <c r="N533" s="4"/>
    </row>
    <row r="534" spans="1:14" ht="25.5" x14ac:dyDescent="0.25">
      <c r="A534" s="23" t="str">
        <f>IF(TRIM(E534)&lt;&gt;"",COUNTA($E$10:E534)&amp;"","")</f>
        <v>513</v>
      </c>
      <c r="B534" s="29" t="s">
        <v>82</v>
      </c>
      <c r="C534" s="25" t="s">
        <v>22</v>
      </c>
      <c r="D534" s="26">
        <v>1.1000000000000001</v>
      </c>
      <c r="E534" s="27">
        <f>E533*0.03*D534</f>
        <v>0.15642</v>
      </c>
      <c r="F534" s="27">
        <f t="shared" ref="F534" si="362">G534+H534</f>
        <v>0</v>
      </c>
      <c r="G534" s="27"/>
      <c r="H534" s="90"/>
      <c r="I534" s="27">
        <f t="shared" ref="I534" si="363">J534+K534</f>
        <v>0</v>
      </c>
      <c r="J534" s="27"/>
      <c r="K534" s="27">
        <f>ROUND(H534*E534,2)</f>
        <v>0</v>
      </c>
      <c r="L534" s="30" t="s">
        <v>11</v>
      </c>
      <c r="N534" s="4"/>
    </row>
    <row r="535" spans="1:14" x14ac:dyDescent="0.25">
      <c r="A535" s="23" t="str">
        <f>IF(TRIM(E535)&lt;&gt;"",COUNTA($E$10:E535)&amp;"","")</f>
        <v>514</v>
      </c>
      <c r="B535" s="18" t="s">
        <v>51</v>
      </c>
      <c r="C535" s="19" t="s">
        <v>1</v>
      </c>
      <c r="D535" s="20"/>
      <c r="E535" s="21">
        <f>E533</f>
        <v>4.74</v>
      </c>
      <c r="F535" s="21">
        <f>G535+H535</f>
        <v>0</v>
      </c>
      <c r="G535" s="89"/>
      <c r="H535" s="21"/>
      <c r="I535" s="21">
        <f>J535+K535</f>
        <v>0</v>
      </c>
      <c r="J535" s="39">
        <f>ROUND(G535*E535,2)</f>
        <v>0</v>
      </c>
      <c r="K535" s="21"/>
      <c r="L535" s="22"/>
      <c r="N535" s="4"/>
    </row>
    <row r="536" spans="1:14" ht="25.5" x14ac:dyDescent="0.25">
      <c r="A536" s="23" t="str">
        <f>IF(TRIM(E536)&lt;&gt;"",COUNTA($E$10:E536)&amp;"","")</f>
        <v>515</v>
      </c>
      <c r="B536" s="29" t="s">
        <v>73</v>
      </c>
      <c r="C536" s="25" t="s">
        <v>1</v>
      </c>
      <c r="D536" s="26">
        <v>1.1499999999999999</v>
      </c>
      <c r="E536" s="27">
        <f>E535*D536</f>
        <v>5.4509999999999996</v>
      </c>
      <c r="F536" s="27">
        <f t="shared" ref="F536" si="364">G536+H536</f>
        <v>0</v>
      </c>
      <c r="G536" s="27"/>
      <c r="H536" s="90"/>
      <c r="I536" s="27">
        <f t="shared" ref="I536" si="365">J536+K536</f>
        <v>0</v>
      </c>
      <c r="J536" s="27"/>
      <c r="K536" s="27">
        <f>ROUND(H536*E536,2)</f>
        <v>0</v>
      </c>
      <c r="L536" s="30" t="s">
        <v>11</v>
      </c>
      <c r="N536" s="4"/>
    </row>
    <row r="537" spans="1:14" ht="38.25" x14ac:dyDescent="0.25">
      <c r="A537" s="23" t="str">
        <f>IF(TRIM(E537)&lt;&gt;"",COUNTA($E$10:E537)&amp;"","")</f>
        <v>516</v>
      </c>
      <c r="B537" s="18" t="s">
        <v>83</v>
      </c>
      <c r="C537" s="19" t="s">
        <v>1</v>
      </c>
      <c r="D537" s="20"/>
      <c r="E537" s="21">
        <f>E528</f>
        <v>4.74</v>
      </c>
      <c r="F537" s="21">
        <f>G537+H537</f>
        <v>0</v>
      </c>
      <c r="G537" s="89"/>
      <c r="H537" s="21"/>
      <c r="I537" s="21">
        <f>J537+K537</f>
        <v>0</v>
      </c>
      <c r="J537" s="39">
        <f>ROUND(G537*E537,2)</f>
        <v>0</v>
      </c>
      <c r="K537" s="21"/>
      <c r="L537" s="22"/>
      <c r="M537" s="5"/>
      <c r="N537" s="4"/>
    </row>
    <row r="538" spans="1:14" ht="25.5" x14ac:dyDescent="0.25">
      <c r="A538" s="23" t="str">
        <f>IF(TRIM(E538)&lt;&gt;"",COUNTA($E$10:E538)&amp;"","")</f>
        <v>517</v>
      </c>
      <c r="B538" s="24" t="s">
        <v>21</v>
      </c>
      <c r="C538" s="25" t="s">
        <v>22</v>
      </c>
      <c r="D538" s="34">
        <v>1.0149999999999999</v>
      </c>
      <c r="E538" s="27">
        <f>Расчет!K52*D538</f>
        <v>0.24055499999999999</v>
      </c>
      <c r="F538" s="27">
        <f t="shared" ref="F538:F539" si="366">G538+H538</f>
        <v>0</v>
      </c>
      <c r="G538" s="27"/>
      <c r="H538" s="90"/>
      <c r="I538" s="27">
        <f t="shared" ref="I538:I539" si="367">J538+K538</f>
        <v>0</v>
      </c>
      <c r="J538" s="27"/>
      <c r="K538" s="27">
        <f t="shared" ref="K538:K539" si="368">ROUND(H538*E538,2)</f>
        <v>0</v>
      </c>
      <c r="L538" s="30" t="s">
        <v>11</v>
      </c>
      <c r="N538" s="4"/>
    </row>
    <row r="539" spans="1:14" ht="25.5" x14ac:dyDescent="0.25">
      <c r="A539" s="23" t="str">
        <f>IF(TRIM(E539)&lt;&gt;"",COUNTA($E$10:E539)&amp;"","")</f>
        <v>518</v>
      </c>
      <c r="B539" s="24" t="s">
        <v>74</v>
      </c>
      <c r="C539" s="25" t="s">
        <v>1</v>
      </c>
      <c r="D539" s="26">
        <v>1.2</v>
      </c>
      <c r="E539" s="27">
        <f>E537*D539</f>
        <v>5.6879999999999997</v>
      </c>
      <c r="F539" s="27">
        <f t="shared" si="366"/>
        <v>0</v>
      </c>
      <c r="G539" s="27"/>
      <c r="H539" s="90"/>
      <c r="I539" s="27">
        <f t="shared" si="367"/>
        <v>0</v>
      </c>
      <c r="J539" s="27"/>
      <c r="K539" s="27">
        <f t="shared" si="368"/>
        <v>0</v>
      </c>
      <c r="L539" s="28" t="s">
        <v>11</v>
      </c>
      <c r="N539" s="4"/>
    </row>
    <row r="540" spans="1:14" ht="25.5" x14ac:dyDescent="0.25">
      <c r="A540" s="23" t="str">
        <f>IF(TRIM(E540)&lt;&gt;"",COUNTA($E$10:E540)&amp;"","")</f>
        <v>519</v>
      </c>
      <c r="B540" s="18" t="s">
        <v>127</v>
      </c>
      <c r="C540" s="19" t="s">
        <v>1</v>
      </c>
      <c r="D540" s="20"/>
      <c r="E540" s="21">
        <f>E528</f>
        <v>4.74</v>
      </c>
      <c r="F540" s="21">
        <f>G540+H540</f>
        <v>0</v>
      </c>
      <c r="G540" s="89"/>
      <c r="H540" s="21"/>
      <c r="I540" s="21">
        <f>J540+K540</f>
        <v>0</v>
      </c>
      <c r="J540" s="39">
        <f>ROUND(G540*E540,2)</f>
        <v>0</v>
      </c>
      <c r="K540" s="21"/>
      <c r="L540" s="22"/>
      <c r="N540" s="4"/>
    </row>
    <row r="541" spans="1:14" ht="25.5" x14ac:dyDescent="0.25">
      <c r="A541" s="23" t="str">
        <f>IF(TRIM(E541)&lt;&gt;"",COUNTA($E$10:E541)&amp;"","")</f>
        <v>520</v>
      </c>
      <c r="B541" s="24" t="s">
        <v>75</v>
      </c>
      <c r="C541" s="25" t="s">
        <v>20</v>
      </c>
      <c r="D541" s="26">
        <v>0.35</v>
      </c>
      <c r="E541" s="27">
        <f>E540*D541</f>
        <v>1.659</v>
      </c>
      <c r="F541" s="27">
        <f t="shared" ref="F541" si="369">G541+H541</f>
        <v>0</v>
      </c>
      <c r="G541" s="27"/>
      <c r="H541" s="90"/>
      <c r="I541" s="27">
        <f t="shared" ref="I541" si="370">J541+K541</f>
        <v>0</v>
      </c>
      <c r="J541" s="27"/>
      <c r="K541" s="27">
        <f>ROUND(H541*E541,2)</f>
        <v>0</v>
      </c>
      <c r="L541" s="28" t="s">
        <v>11</v>
      </c>
      <c r="N541" s="4"/>
    </row>
    <row r="542" spans="1:14" x14ac:dyDescent="0.25">
      <c r="A542" s="23" t="str">
        <f>IF(TRIM(E542)&lt;&gt;"",COUNTA($E$10:E542)&amp;"","")</f>
        <v>521</v>
      </c>
      <c r="B542" s="18" t="s">
        <v>84</v>
      </c>
      <c r="C542" s="19" t="s">
        <v>1</v>
      </c>
      <c r="D542" s="20"/>
      <c r="E542" s="21">
        <f>E528</f>
        <v>4.74</v>
      </c>
      <c r="F542" s="21">
        <f>G542+H542</f>
        <v>0</v>
      </c>
      <c r="G542" s="89"/>
      <c r="H542" s="21"/>
      <c r="I542" s="21">
        <f>J542+K542</f>
        <v>0</v>
      </c>
      <c r="J542" s="39">
        <f>ROUND(G542*E542,2)</f>
        <v>0</v>
      </c>
      <c r="K542" s="21"/>
      <c r="L542" s="22"/>
      <c r="N542" s="4"/>
    </row>
    <row r="543" spans="1:14" ht="25.5" x14ac:dyDescent="0.25">
      <c r="A543" s="23" t="str">
        <f>IF(TRIM(E543)&lt;&gt;"",COUNTA($E$10:E543)&amp;"","")</f>
        <v>522</v>
      </c>
      <c r="B543" s="24" t="s">
        <v>85</v>
      </c>
      <c r="C543" s="25" t="s">
        <v>20</v>
      </c>
      <c r="D543" s="26">
        <f>0.35*2</f>
        <v>0.7</v>
      </c>
      <c r="E543" s="27">
        <f>E542*D543</f>
        <v>3.3180000000000001</v>
      </c>
      <c r="F543" s="27">
        <f t="shared" ref="F543" si="371">G543+H543</f>
        <v>0</v>
      </c>
      <c r="G543" s="27"/>
      <c r="H543" s="90"/>
      <c r="I543" s="27">
        <f t="shared" ref="I543" si="372">J543+K543</f>
        <v>0</v>
      </c>
      <c r="J543" s="27"/>
      <c r="K543" s="27">
        <f>ROUND(H543*E543,2)</f>
        <v>0</v>
      </c>
      <c r="L543" s="28" t="s">
        <v>11</v>
      </c>
      <c r="N543" s="4"/>
    </row>
    <row r="544" spans="1:14" ht="25.5" x14ac:dyDescent="0.25">
      <c r="A544" s="23" t="str">
        <f>IF(TRIM(E544)&lt;&gt;"",COUNTA($E$10:E544)&amp;"","")</f>
        <v>523</v>
      </c>
      <c r="B544" s="48" t="s">
        <v>129</v>
      </c>
      <c r="C544" s="49" t="s">
        <v>1</v>
      </c>
      <c r="D544" s="50"/>
      <c r="E544" s="21">
        <f>E528</f>
        <v>4.74</v>
      </c>
      <c r="F544" s="21">
        <f>G544+H544</f>
        <v>0</v>
      </c>
      <c r="G544" s="89"/>
      <c r="H544" s="21"/>
      <c r="I544" s="21">
        <f>J544+K544</f>
        <v>0</v>
      </c>
      <c r="J544" s="39">
        <f>ROUND(G544*E544,2)</f>
        <v>0</v>
      </c>
      <c r="K544" s="21"/>
      <c r="L544" s="51"/>
      <c r="N544" s="4"/>
    </row>
    <row r="545" spans="1:14" ht="25.5" x14ac:dyDescent="0.25">
      <c r="A545" s="23" t="str">
        <f>IF(TRIM(E545)&lt;&gt;"",COUNTA($E$10:E545)&amp;"","")</f>
        <v>524</v>
      </c>
      <c r="B545" s="52" t="s">
        <v>86</v>
      </c>
      <c r="C545" s="36" t="s">
        <v>1</v>
      </c>
      <c r="D545" s="53">
        <v>1.03</v>
      </c>
      <c r="E545" s="27">
        <f>E544*D545</f>
        <v>4.8822000000000001</v>
      </c>
      <c r="F545" s="27">
        <f t="shared" ref="F545" si="373">G545+H545</f>
        <v>0</v>
      </c>
      <c r="G545" s="27"/>
      <c r="H545" s="90"/>
      <c r="I545" s="27">
        <f t="shared" ref="I545" si="374">J545+K545</f>
        <v>0</v>
      </c>
      <c r="J545" s="27"/>
      <c r="K545" s="27">
        <f>ROUND(H545*E545,2)</f>
        <v>0</v>
      </c>
      <c r="L545" s="30" t="s">
        <v>11</v>
      </c>
      <c r="N545" s="4"/>
    </row>
    <row r="546" spans="1:14" ht="25.5" x14ac:dyDescent="0.25">
      <c r="A546" s="23" t="str">
        <f>IF(TRIM(E546)&lt;&gt;"",COUNTA($E$10:E546)&amp;"","")</f>
        <v>525</v>
      </c>
      <c r="B546" s="18" t="s">
        <v>130</v>
      </c>
      <c r="C546" s="19" t="s">
        <v>1</v>
      </c>
      <c r="D546" s="20"/>
      <c r="E546" s="21">
        <f>E528</f>
        <v>4.74</v>
      </c>
      <c r="F546" s="21">
        <f>G546+H546</f>
        <v>0</v>
      </c>
      <c r="G546" s="89"/>
      <c r="H546" s="21"/>
      <c r="I546" s="21">
        <f>J546+K546</f>
        <v>0</v>
      </c>
      <c r="J546" s="39">
        <f>ROUND(G546*E546,2)</f>
        <v>0</v>
      </c>
      <c r="K546" s="21"/>
      <c r="L546" s="22"/>
      <c r="M546" s="5"/>
      <c r="N546" s="4"/>
    </row>
    <row r="547" spans="1:14" ht="25.5" x14ac:dyDescent="0.25">
      <c r="A547" s="23" t="str">
        <f>IF(TRIM(E547)&lt;&gt;"",COUNTA($E$10:E547)&amp;"","")</f>
        <v>526</v>
      </c>
      <c r="B547" s="24" t="s">
        <v>87</v>
      </c>
      <c r="C547" s="25" t="s">
        <v>1</v>
      </c>
      <c r="D547" s="26">
        <v>1.02</v>
      </c>
      <c r="E547" s="27">
        <f>E546*D547</f>
        <v>4.8348000000000004</v>
      </c>
      <c r="F547" s="27">
        <f t="shared" ref="F547" si="375">G547+H547</f>
        <v>0</v>
      </c>
      <c r="G547" s="27"/>
      <c r="H547" s="90"/>
      <c r="I547" s="27">
        <f t="shared" ref="I547" si="376">J547+K547</f>
        <v>0</v>
      </c>
      <c r="J547" s="27"/>
      <c r="K547" s="27">
        <f>ROUND(H547*E547,2)</f>
        <v>0</v>
      </c>
      <c r="L547" s="30" t="s">
        <v>11</v>
      </c>
      <c r="N547" s="4"/>
    </row>
    <row r="548" spans="1:14" s="5" customFormat="1" x14ac:dyDescent="0.25">
      <c r="A548" s="11"/>
      <c r="B548" s="12" t="s">
        <v>203</v>
      </c>
      <c r="C548" s="12"/>
      <c r="D548" s="13"/>
      <c r="E548" s="13"/>
      <c r="F548" s="13"/>
      <c r="G548" s="13"/>
      <c r="H548" s="13"/>
      <c r="I548" s="13"/>
      <c r="J548" s="13"/>
      <c r="K548" s="13"/>
      <c r="L548" s="13"/>
    </row>
    <row r="549" spans="1:14" s="5" customFormat="1" x14ac:dyDescent="0.25">
      <c r="A549" s="14"/>
      <c r="B549" s="15" t="s">
        <v>115</v>
      </c>
      <c r="C549" s="16"/>
      <c r="D549" s="17"/>
      <c r="E549" s="17"/>
      <c r="F549" s="17"/>
      <c r="G549" s="17"/>
      <c r="H549" s="17"/>
      <c r="I549" s="17"/>
      <c r="J549" s="17"/>
      <c r="K549" s="17"/>
      <c r="L549" s="16"/>
    </row>
    <row r="550" spans="1:14" ht="25.5" x14ac:dyDescent="0.25">
      <c r="A550" s="1" t="str">
        <f>IF(TRIM(E550)&lt;&gt;"",COUNTA($E$10:E550)&amp;"","")</f>
        <v>527</v>
      </c>
      <c r="B550" s="18" t="s">
        <v>50</v>
      </c>
      <c r="C550" s="19" t="s">
        <v>1</v>
      </c>
      <c r="D550" s="20"/>
      <c r="E550" s="21">
        <f>Расчет!E59+Расчет!E60+E568*0.35</f>
        <v>398.75749999999999</v>
      </c>
      <c r="F550" s="21">
        <f>G550+H550</f>
        <v>0</v>
      </c>
      <c r="G550" s="89"/>
      <c r="H550" s="21"/>
      <c r="I550" s="21">
        <f>J550+K550</f>
        <v>0</v>
      </c>
      <c r="J550" s="39">
        <f>ROUND(G550*E550,2)</f>
        <v>0</v>
      </c>
      <c r="K550" s="21"/>
      <c r="L550" s="22"/>
      <c r="N550" s="4"/>
    </row>
    <row r="551" spans="1:14" ht="25.5" x14ac:dyDescent="0.25">
      <c r="A551" s="23" t="str">
        <f>IF(TRIM(E551)&lt;&gt;"",COUNTA($E$10:E551)&amp;"","")</f>
        <v>528</v>
      </c>
      <c r="B551" s="24" t="s">
        <v>75</v>
      </c>
      <c r="C551" s="25" t="s">
        <v>20</v>
      </c>
      <c r="D551" s="26">
        <v>0.35</v>
      </c>
      <c r="E551" s="27">
        <f>E550*D551</f>
        <v>139.56512499999999</v>
      </c>
      <c r="F551" s="27">
        <f t="shared" ref="F551" si="377">G551+H551</f>
        <v>0</v>
      </c>
      <c r="G551" s="27"/>
      <c r="H551" s="90"/>
      <c r="I551" s="27">
        <f t="shared" ref="I551" si="378">J551+K551</f>
        <v>0</v>
      </c>
      <c r="J551" s="27"/>
      <c r="K551" s="27">
        <f>ROUND(H551*E551,2)</f>
        <v>0</v>
      </c>
      <c r="L551" s="28" t="s">
        <v>11</v>
      </c>
      <c r="N551" s="4"/>
    </row>
    <row r="552" spans="1:14" ht="25.5" x14ac:dyDescent="0.25">
      <c r="A552" s="23" t="str">
        <f>IF(TRIM(E552)&lt;&gt;"",COUNTA($E$10:E552)&amp;"","")</f>
        <v>529</v>
      </c>
      <c r="B552" s="18" t="s">
        <v>116</v>
      </c>
      <c r="C552" s="19" t="s">
        <v>1</v>
      </c>
      <c r="D552" s="20"/>
      <c r="E552" s="21">
        <f>E550</f>
        <v>398.75749999999999</v>
      </c>
      <c r="F552" s="21">
        <f>G552+H552</f>
        <v>0</v>
      </c>
      <c r="G552" s="89"/>
      <c r="H552" s="21"/>
      <c r="I552" s="21">
        <f>J552+K552</f>
        <v>0</v>
      </c>
      <c r="J552" s="39">
        <f>ROUND(G552*E552,2)</f>
        <v>0</v>
      </c>
      <c r="K552" s="21"/>
      <c r="L552" s="22"/>
      <c r="N552" s="4"/>
    </row>
    <row r="553" spans="1:14" ht="25.5" x14ac:dyDescent="0.25">
      <c r="A553" s="23" t="str">
        <f>IF(TRIM(E553)&lt;&gt;"",COUNTA($E$10:E553)&amp;"","")</f>
        <v>530</v>
      </c>
      <c r="B553" s="29" t="s">
        <v>76</v>
      </c>
      <c r="C553" s="25" t="s">
        <v>1</v>
      </c>
      <c r="D553" s="26">
        <v>1.1499999999999999</v>
      </c>
      <c r="E553" s="27">
        <f>E552*D553</f>
        <v>458.57112499999994</v>
      </c>
      <c r="F553" s="27">
        <f t="shared" ref="F553:F554" si="379">G553+H553</f>
        <v>0</v>
      </c>
      <c r="G553" s="27"/>
      <c r="H553" s="90"/>
      <c r="I553" s="27">
        <f t="shared" ref="I553:I554" si="380">J553+K553</f>
        <v>0</v>
      </c>
      <c r="J553" s="27"/>
      <c r="K553" s="27">
        <f t="shared" ref="K553:K554" si="381">ROUND(H553*E553,2)</f>
        <v>0</v>
      </c>
      <c r="L553" s="30" t="s">
        <v>11</v>
      </c>
      <c r="N553" s="4"/>
    </row>
    <row r="554" spans="1:14" ht="25.5" x14ac:dyDescent="0.25">
      <c r="A554" s="23" t="str">
        <f>IF(TRIM(E554)&lt;&gt;"",COUNTA($E$10:E554)&amp;"","")</f>
        <v>531</v>
      </c>
      <c r="B554" s="31" t="s">
        <v>117</v>
      </c>
      <c r="C554" s="32" t="s">
        <v>3</v>
      </c>
      <c r="D554" s="33">
        <v>0.3</v>
      </c>
      <c r="E554" s="27">
        <f>E552*D554</f>
        <v>119.62724999999999</v>
      </c>
      <c r="F554" s="27">
        <f t="shared" si="379"/>
        <v>0</v>
      </c>
      <c r="G554" s="27"/>
      <c r="H554" s="90"/>
      <c r="I554" s="27">
        <f t="shared" si="380"/>
        <v>0</v>
      </c>
      <c r="J554" s="27"/>
      <c r="K554" s="27">
        <f t="shared" si="381"/>
        <v>0</v>
      </c>
      <c r="L554" s="30" t="s">
        <v>11</v>
      </c>
      <c r="N554" s="4"/>
    </row>
    <row r="555" spans="1:14" x14ac:dyDescent="0.25">
      <c r="A555" s="23" t="str">
        <f>IF(TRIM(E555)&lt;&gt;"",COUNTA($E$10:E555)&amp;"","")</f>
        <v>532</v>
      </c>
      <c r="B555" s="18" t="s">
        <v>47</v>
      </c>
      <c r="C555" s="19" t="s">
        <v>1</v>
      </c>
      <c r="D555" s="20"/>
      <c r="E555" s="21">
        <f>Расчет!E59+Расчет!E60</f>
        <v>339.8</v>
      </c>
      <c r="F555" s="21">
        <f>G555+H555</f>
        <v>0</v>
      </c>
      <c r="G555" s="89"/>
      <c r="H555" s="21"/>
      <c r="I555" s="21">
        <f>J555+K555</f>
        <v>0</v>
      </c>
      <c r="J555" s="39">
        <f>ROUND(G555*E555,2)</f>
        <v>0</v>
      </c>
      <c r="K555" s="21"/>
      <c r="L555" s="22"/>
      <c r="N555" s="4"/>
    </row>
    <row r="556" spans="1:14" ht="25.5" x14ac:dyDescent="0.25">
      <c r="A556" s="23" t="str">
        <f>IF(TRIM(E556)&lt;&gt;"",COUNTA($E$10:E556)&amp;"","")</f>
        <v>533</v>
      </c>
      <c r="B556" s="29" t="s">
        <v>72</v>
      </c>
      <c r="C556" s="25" t="s">
        <v>22</v>
      </c>
      <c r="D556" s="26">
        <v>1.1000000000000001</v>
      </c>
      <c r="E556" s="27">
        <f>E555*0.1*D556</f>
        <v>37.378000000000007</v>
      </c>
      <c r="F556" s="27">
        <f t="shared" ref="F556" si="382">G556+H556</f>
        <v>0</v>
      </c>
      <c r="G556" s="27"/>
      <c r="H556" s="90"/>
      <c r="I556" s="27">
        <f t="shared" ref="I556" si="383">J556+K556</f>
        <v>0</v>
      </c>
      <c r="J556" s="27"/>
      <c r="K556" s="27">
        <f>ROUND(H556*E556,2)</f>
        <v>0</v>
      </c>
      <c r="L556" s="30" t="s">
        <v>11</v>
      </c>
      <c r="N556" s="4"/>
    </row>
    <row r="557" spans="1:14" x14ac:dyDescent="0.25">
      <c r="A557" s="23" t="str">
        <f>IF(TRIM(E557)&lt;&gt;"",COUNTA($E$10:E557)&amp;"","")</f>
        <v>534</v>
      </c>
      <c r="B557" s="18" t="s">
        <v>88</v>
      </c>
      <c r="C557" s="19" t="s">
        <v>1</v>
      </c>
      <c r="D557" s="20"/>
      <c r="E557" s="21">
        <f>E568*0.47</f>
        <v>79.171499999999995</v>
      </c>
      <c r="F557" s="21">
        <f>G557+H557</f>
        <v>0</v>
      </c>
      <c r="G557" s="89"/>
      <c r="H557" s="21"/>
      <c r="I557" s="21">
        <f>J557+K557</f>
        <v>0</v>
      </c>
      <c r="J557" s="39">
        <f>ROUND(G557*E557,2)</f>
        <v>0</v>
      </c>
      <c r="K557" s="21"/>
      <c r="L557" s="22"/>
      <c r="N557" s="4"/>
    </row>
    <row r="558" spans="1:14" ht="25.5" x14ac:dyDescent="0.25">
      <c r="A558" s="23" t="str">
        <f>IF(TRIM(E558)&lt;&gt;"",COUNTA($E$10:E558)&amp;"","")</f>
        <v>535</v>
      </c>
      <c r="B558" s="29" t="s">
        <v>89</v>
      </c>
      <c r="C558" s="25" t="s">
        <v>22</v>
      </c>
      <c r="D558" s="26">
        <v>1.03</v>
      </c>
      <c r="E558" s="27">
        <f>E557*0.05*D558</f>
        <v>4.0773322499999995</v>
      </c>
      <c r="F558" s="27">
        <f t="shared" ref="F558:F559" si="384">G558+H558</f>
        <v>0</v>
      </c>
      <c r="G558" s="27"/>
      <c r="H558" s="90"/>
      <c r="I558" s="27">
        <f t="shared" ref="I558:I559" si="385">J558+K558</f>
        <v>0</v>
      </c>
      <c r="J558" s="27"/>
      <c r="K558" s="27">
        <f t="shared" ref="K558:K559" si="386">ROUND(H558*E558,2)</f>
        <v>0</v>
      </c>
      <c r="L558" s="30" t="s">
        <v>11</v>
      </c>
      <c r="N558" s="4"/>
    </row>
    <row r="559" spans="1:14" ht="25.5" x14ac:dyDescent="0.25">
      <c r="A559" s="23" t="str">
        <f>IF(TRIM(E559)&lt;&gt;"",COUNTA($E$10:E559)&amp;"","")</f>
        <v>536</v>
      </c>
      <c r="B559" s="29" t="s">
        <v>90</v>
      </c>
      <c r="C559" s="25" t="s">
        <v>0</v>
      </c>
      <c r="D559" s="26">
        <v>5</v>
      </c>
      <c r="E559" s="27">
        <f>ROUND(E557*D559,0)</f>
        <v>396</v>
      </c>
      <c r="F559" s="27">
        <f t="shared" si="384"/>
        <v>0</v>
      </c>
      <c r="G559" s="27"/>
      <c r="H559" s="90"/>
      <c r="I559" s="27">
        <f t="shared" si="385"/>
        <v>0</v>
      </c>
      <c r="J559" s="27"/>
      <c r="K559" s="27">
        <f t="shared" si="386"/>
        <v>0</v>
      </c>
      <c r="L559" s="30" t="s">
        <v>11</v>
      </c>
      <c r="N559" s="4"/>
    </row>
    <row r="560" spans="1:14" x14ac:dyDescent="0.25">
      <c r="A560" s="23" t="str">
        <f>IF(TRIM(E560)&lt;&gt;"",COUNTA($E$10:E560)&amp;"","")</f>
        <v>537</v>
      </c>
      <c r="B560" s="18" t="s">
        <v>91</v>
      </c>
      <c r="C560" s="19" t="s">
        <v>1</v>
      </c>
      <c r="D560" s="20"/>
      <c r="E560" s="21">
        <f>E557</f>
        <v>79.171499999999995</v>
      </c>
      <c r="F560" s="21">
        <f>G560+H560</f>
        <v>0</v>
      </c>
      <c r="G560" s="89"/>
      <c r="H560" s="21"/>
      <c r="I560" s="21">
        <f>J560+K560</f>
        <v>0</v>
      </c>
      <c r="J560" s="39">
        <f>ROUND(G560*E560,2)</f>
        <v>0</v>
      </c>
      <c r="K560" s="21"/>
      <c r="L560" s="22"/>
      <c r="N560" s="4"/>
    </row>
    <row r="561" spans="1:14" ht="25.5" x14ac:dyDescent="0.25">
      <c r="A561" s="23" t="str">
        <f>IF(TRIM(E561)&lt;&gt;"",COUNTA($E$10:E561)&amp;"","")</f>
        <v>538</v>
      </c>
      <c r="B561" s="29" t="s">
        <v>21</v>
      </c>
      <c r="C561" s="25" t="s">
        <v>22</v>
      </c>
      <c r="D561" s="34">
        <v>1.0149999999999999</v>
      </c>
      <c r="E561" s="27">
        <f>E560*0.02*D561</f>
        <v>1.6071814499999997</v>
      </c>
      <c r="F561" s="27">
        <f t="shared" ref="F561:F562" si="387">G561+H561</f>
        <v>0</v>
      </c>
      <c r="G561" s="27"/>
      <c r="H561" s="90"/>
      <c r="I561" s="27">
        <f t="shared" ref="I561:I562" si="388">J561+K561</f>
        <v>0</v>
      </c>
      <c r="J561" s="27"/>
      <c r="K561" s="27">
        <f t="shared" ref="K561:K562" si="389">ROUND(H561*E561,2)</f>
        <v>0</v>
      </c>
      <c r="L561" s="28" t="s">
        <v>11</v>
      </c>
      <c r="N561" s="4"/>
    </row>
    <row r="562" spans="1:14" ht="25.5" x14ac:dyDescent="0.25">
      <c r="A562" s="23" t="str">
        <f>IF(TRIM(E562)&lt;&gt;"",COUNTA($E$10:E562)&amp;"","")</f>
        <v>539</v>
      </c>
      <c r="B562" s="24" t="s">
        <v>92</v>
      </c>
      <c r="C562" s="25" t="s">
        <v>1</v>
      </c>
      <c r="D562" s="26">
        <v>1.2</v>
      </c>
      <c r="E562" s="27">
        <f>E560*D562</f>
        <v>95.005799999999994</v>
      </c>
      <c r="F562" s="27">
        <f t="shared" si="387"/>
        <v>0</v>
      </c>
      <c r="G562" s="27"/>
      <c r="H562" s="90"/>
      <c r="I562" s="27">
        <f t="shared" si="388"/>
        <v>0</v>
      </c>
      <c r="J562" s="27"/>
      <c r="K562" s="27">
        <f t="shared" si="389"/>
        <v>0</v>
      </c>
      <c r="L562" s="28" t="s">
        <v>11</v>
      </c>
      <c r="N562" s="4"/>
    </row>
    <row r="563" spans="1:14" x14ac:dyDescent="0.25">
      <c r="A563" s="23" t="str">
        <f>IF(TRIM(E563)&lt;&gt;"",COUNTA($E$10:E563)&amp;"","")</f>
        <v>540</v>
      </c>
      <c r="B563" s="18" t="s">
        <v>51</v>
      </c>
      <c r="C563" s="19" t="s">
        <v>1</v>
      </c>
      <c r="D563" s="20"/>
      <c r="E563" s="21">
        <f>E555</f>
        <v>339.8</v>
      </c>
      <c r="F563" s="21">
        <f>G563+H563</f>
        <v>0</v>
      </c>
      <c r="G563" s="89"/>
      <c r="H563" s="21"/>
      <c r="I563" s="21">
        <f>J563+K563</f>
        <v>0</v>
      </c>
      <c r="J563" s="39">
        <f>ROUND(G563*E563,2)</f>
        <v>0</v>
      </c>
      <c r="K563" s="21"/>
      <c r="L563" s="22"/>
      <c r="N563" s="4"/>
    </row>
    <row r="564" spans="1:14" ht="25.5" x14ac:dyDescent="0.25">
      <c r="A564" s="23" t="str">
        <f>IF(TRIM(E564)&lt;&gt;"",COUNTA($E$10:E564)&amp;"","")</f>
        <v>541</v>
      </c>
      <c r="B564" s="29" t="s">
        <v>73</v>
      </c>
      <c r="C564" s="25" t="s">
        <v>1</v>
      </c>
      <c r="D564" s="26">
        <v>1.1499999999999999</v>
      </c>
      <c r="E564" s="27">
        <f>E563*D564</f>
        <v>390.77</v>
      </c>
      <c r="F564" s="27">
        <f t="shared" ref="F564" si="390">G564+H564</f>
        <v>0</v>
      </c>
      <c r="G564" s="27"/>
      <c r="H564" s="90"/>
      <c r="I564" s="27">
        <f t="shared" ref="I564" si="391">J564+K564</f>
        <v>0</v>
      </c>
      <c r="J564" s="27"/>
      <c r="K564" s="27">
        <f>ROUND(H564*E564,2)</f>
        <v>0</v>
      </c>
      <c r="L564" s="30" t="s">
        <v>11</v>
      </c>
      <c r="N564" s="4"/>
    </row>
    <row r="565" spans="1:14" ht="38.25" x14ac:dyDescent="0.25">
      <c r="A565" s="23" t="str">
        <f>IF(TRIM(E565)&lt;&gt;"",COUNTA($E$10:E565)&amp;"","")</f>
        <v>542</v>
      </c>
      <c r="B565" s="18" t="s">
        <v>134</v>
      </c>
      <c r="C565" s="19" t="s">
        <v>1</v>
      </c>
      <c r="D565" s="20"/>
      <c r="E565" s="21">
        <f>Расчет!E59+Расчет!E60</f>
        <v>339.8</v>
      </c>
      <c r="F565" s="21">
        <f>G565+H565</f>
        <v>0</v>
      </c>
      <c r="G565" s="89"/>
      <c r="H565" s="21"/>
      <c r="I565" s="21">
        <f>J565+K565</f>
        <v>0</v>
      </c>
      <c r="J565" s="39">
        <f>ROUND(G565*E565,2)</f>
        <v>0</v>
      </c>
      <c r="K565" s="21"/>
      <c r="L565" s="22"/>
      <c r="M565" s="5"/>
      <c r="N565" s="4"/>
    </row>
    <row r="566" spans="1:14" ht="25.5" x14ac:dyDescent="0.25">
      <c r="A566" s="23" t="str">
        <f>IF(TRIM(E566)&lt;&gt;"",COUNTA($E$10:E566)&amp;"","")</f>
        <v>543</v>
      </c>
      <c r="B566" s="24" t="s">
        <v>21</v>
      </c>
      <c r="C566" s="25" t="s">
        <v>22</v>
      </c>
      <c r="D566" s="34">
        <v>1.0149999999999999</v>
      </c>
      <c r="E566" s="27">
        <f>(Расчет!L64-Расчет!K64)*D566</f>
        <v>48.205056666666799</v>
      </c>
      <c r="F566" s="27">
        <f t="shared" ref="F566:F567" si="392">G566+H566</f>
        <v>0</v>
      </c>
      <c r="G566" s="27"/>
      <c r="H566" s="90"/>
      <c r="I566" s="27">
        <f t="shared" ref="I566:I567" si="393">J566+K566</f>
        <v>0</v>
      </c>
      <c r="J566" s="27"/>
      <c r="K566" s="27">
        <f t="shared" ref="K566:K567" si="394">ROUND(H566*E566,2)</f>
        <v>0</v>
      </c>
      <c r="L566" s="30" t="s">
        <v>11</v>
      </c>
      <c r="N566" s="4"/>
    </row>
    <row r="567" spans="1:14" ht="25.5" x14ac:dyDescent="0.25">
      <c r="A567" s="23" t="str">
        <f>IF(TRIM(E567)&lt;&gt;"",COUNTA($E$10:E567)&amp;"","")</f>
        <v>544</v>
      </c>
      <c r="B567" s="24" t="s">
        <v>74</v>
      </c>
      <c r="C567" s="25" t="s">
        <v>1</v>
      </c>
      <c r="D567" s="26">
        <v>1.2</v>
      </c>
      <c r="E567" s="27">
        <f>E565*D567</f>
        <v>407.76</v>
      </c>
      <c r="F567" s="27">
        <f t="shared" si="392"/>
        <v>0</v>
      </c>
      <c r="G567" s="27"/>
      <c r="H567" s="90"/>
      <c r="I567" s="27">
        <f t="shared" si="393"/>
        <v>0</v>
      </c>
      <c r="J567" s="27"/>
      <c r="K567" s="27">
        <f t="shared" si="394"/>
        <v>0</v>
      </c>
      <c r="L567" s="28" t="s">
        <v>11</v>
      </c>
      <c r="N567" s="4"/>
    </row>
    <row r="568" spans="1:14" ht="38.25" x14ac:dyDescent="0.25">
      <c r="A568" s="23" t="str">
        <f>IF(TRIM(E568)&lt;&gt;"",COUNTA($E$10:E568)&amp;"","")</f>
        <v>545</v>
      </c>
      <c r="B568" s="18" t="s">
        <v>24</v>
      </c>
      <c r="C568" s="19" t="s">
        <v>23</v>
      </c>
      <c r="D568" s="20"/>
      <c r="E568" s="21">
        <f>Расчет!F63</f>
        <v>168.45</v>
      </c>
      <c r="F568" s="21">
        <f>G568+H568</f>
        <v>0</v>
      </c>
      <c r="G568" s="89"/>
      <c r="H568" s="21"/>
      <c r="I568" s="21">
        <f>J568+K568</f>
        <v>0</v>
      </c>
      <c r="J568" s="39">
        <f>ROUND(G568*E568,2)</f>
        <v>0</v>
      </c>
      <c r="K568" s="21"/>
      <c r="L568" s="22"/>
      <c r="N568" s="4"/>
    </row>
    <row r="569" spans="1:14" ht="25.5" x14ac:dyDescent="0.25">
      <c r="A569" s="23" t="str">
        <f>IF(TRIM(E569)&lt;&gt;"",COUNTA($E$10:E569)&amp;"","")</f>
        <v>546</v>
      </c>
      <c r="B569" s="24" t="s">
        <v>21</v>
      </c>
      <c r="C569" s="25" t="s">
        <v>22</v>
      </c>
      <c r="D569" s="34">
        <v>5.0000000000000001E-3</v>
      </c>
      <c r="E569" s="27">
        <f>D569*E568</f>
        <v>0.84224999999999994</v>
      </c>
      <c r="F569" s="27">
        <f t="shared" ref="F569" si="395">G569+H569</f>
        <v>0</v>
      </c>
      <c r="G569" s="27"/>
      <c r="H569" s="90"/>
      <c r="I569" s="27">
        <f t="shared" ref="I569" si="396">J569+K569</f>
        <v>0</v>
      </c>
      <c r="J569" s="27"/>
      <c r="K569" s="27">
        <f>ROUND(H569*E569,2)</f>
        <v>0</v>
      </c>
      <c r="L569" s="30" t="s">
        <v>11</v>
      </c>
      <c r="N569" s="4"/>
    </row>
    <row r="570" spans="1:14" ht="25.5" x14ac:dyDescent="0.25">
      <c r="A570" s="23" t="str">
        <f>IF(TRIM(E570)&lt;&gt;"",COUNTA($E$10:E570)&amp;"","")</f>
        <v>547</v>
      </c>
      <c r="B570" s="18" t="s">
        <v>50</v>
      </c>
      <c r="C570" s="19" t="s">
        <v>1</v>
      </c>
      <c r="D570" s="20"/>
      <c r="E570" s="21">
        <f>E550</f>
        <v>398.75749999999999</v>
      </c>
      <c r="F570" s="21">
        <f>G570+H570</f>
        <v>0</v>
      </c>
      <c r="G570" s="89"/>
      <c r="H570" s="21"/>
      <c r="I570" s="21">
        <f>J570+K570</f>
        <v>0</v>
      </c>
      <c r="J570" s="39">
        <f>ROUND(G570*E570,2)</f>
        <v>0</v>
      </c>
      <c r="K570" s="21"/>
      <c r="L570" s="22"/>
      <c r="N570" s="4"/>
    </row>
    <row r="571" spans="1:14" ht="25.5" x14ac:dyDescent="0.25">
      <c r="A571" s="23" t="str">
        <f>IF(TRIM(E571)&lt;&gt;"",COUNTA($E$10:E571)&amp;"","")</f>
        <v>548</v>
      </c>
      <c r="B571" s="24" t="s">
        <v>75</v>
      </c>
      <c r="C571" s="25" t="s">
        <v>20</v>
      </c>
      <c r="D571" s="26">
        <v>0.35</v>
      </c>
      <c r="E571" s="27">
        <f>E570*D571</f>
        <v>139.56512499999999</v>
      </c>
      <c r="F571" s="27">
        <f t="shared" ref="F571" si="397">G571+H571</f>
        <v>0</v>
      </c>
      <c r="G571" s="27"/>
      <c r="H571" s="90"/>
      <c r="I571" s="27">
        <f t="shared" ref="I571" si="398">J571+K571</f>
        <v>0</v>
      </c>
      <c r="J571" s="27"/>
      <c r="K571" s="27">
        <f>ROUND(H571*E571,2)</f>
        <v>0</v>
      </c>
      <c r="L571" s="28" t="s">
        <v>11</v>
      </c>
      <c r="N571" s="4"/>
    </row>
    <row r="572" spans="1:14" x14ac:dyDescent="0.25">
      <c r="A572" s="23" t="str">
        <f>IF(TRIM(E572)&lt;&gt;"",COUNTA($E$10:E572)&amp;"","")</f>
        <v>549</v>
      </c>
      <c r="B572" s="18" t="s">
        <v>48</v>
      </c>
      <c r="C572" s="19" t="s">
        <v>1</v>
      </c>
      <c r="D572" s="20"/>
      <c r="E572" s="21">
        <f>Расчет!E59+Расчет!E60</f>
        <v>339.8</v>
      </c>
      <c r="F572" s="21">
        <f>G572+H572</f>
        <v>0</v>
      </c>
      <c r="G572" s="89"/>
      <c r="H572" s="21"/>
      <c r="I572" s="21">
        <f>J572+K572</f>
        <v>0</v>
      </c>
      <c r="J572" s="39">
        <f>ROUND(G572*E572,2)</f>
        <v>0</v>
      </c>
      <c r="K572" s="21"/>
      <c r="L572" s="22"/>
      <c r="N572" s="4"/>
    </row>
    <row r="573" spans="1:14" ht="25.5" x14ac:dyDescent="0.25">
      <c r="A573" s="23" t="str">
        <f>IF(TRIM(E573)&lt;&gt;"",COUNTA($E$10:E573)&amp;"","")</f>
        <v>550</v>
      </c>
      <c r="B573" s="24" t="s">
        <v>77</v>
      </c>
      <c r="C573" s="25" t="s">
        <v>1</v>
      </c>
      <c r="D573" s="26">
        <v>1.1399999999999999</v>
      </c>
      <c r="E573" s="27">
        <f>E572*D573</f>
        <v>387.37199999999996</v>
      </c>
      <c r="F573" s="27">
        <f t="shared" ref="F573:F575" si="399">G573+H573</f>
        <v>0</v>
      </c>
      <c r="G573" s="27"/>
      <c r="H573" s="90"/>
      <c r="I573" s="27">
        <f t="shared" ref="I573:I575" si="400">J573+K573</f>
        <v>0</v>
      </c>
      <c r="J573" s="27"/>
      <c r="K573" s="27">
        <f t="shared" ref="K573:K575" si="401">ROUND(H573*E573,2)</f>
        <v>0</v>
      </c>
      <c r="L573" s="28" t="s">
        <v>11</v>
      </c>
      <c r="N573" s="4"/>
    </row>
    <row r="574" spans="1:14" ht="25.5" x14ac:dyDescent="0.25">
      <c r="A574" s="23" t="str">
        <f>IF(TRIM(E574)&lt;&gt;"",COUNTA($E$10:E574)&amp;"","")</f>
        <v>551</v>
      </c>
      <c r="B574" s="24" t="s">
        <v>118</v>
      </c>
      <c r="C574" s="25" t="s">
        <v>1</v>
      </c>
      <c r="D574" s="26">
        <v>1.1599999999999999</v>
      </c>
      <c r="E574" s="27">
        <f>E572*D574</f>
        <v>394.16800000000001</v>
      </c>
      <c r="F574" s="27">
        <f t="shared" si="399"/>
        <v>0</v>
      </c>
      <c r="G574" s="27"/>
      <c r="H574" s="90"/>
      <c r="I574" s="27">
        <f t="shared" si="400"/>
        <v>0</v>
      </c>
      <c r="J574" s="27"/>
      <c r="K574" s="27">
        <f t="shared" si="401"/>
        <v>0</v>
      </c>
      <c r="L574" s="28" t="s">
        <v>11</v>
      </c>
      <c r="N574" s="4"/>
    </row>
    <row r="575" spans="1:14" ht="25.5" x14ac:dyDescent="0.25">
      <c r="A575" s="23" t="str">
        <f>IF(TRIM(E575)&lt;&gt;"",COUNTA($E$10:E575)&amp;"","")</f>
        <v>552</v>
      </c>
      <c r="B575" s="24" t="s">
        <v>117</v>
      </c>
      <c r="C575" s="32" t="s">
        <v>3</v>
      </c>
      <c r="D575" s="33">
        <v>0.6</v>
      </c>
      <c r="E575" s="27">
        <f>E572*D575</f>
        <v>203.88</v>
      </c>
      <c r="F575" s="27">
        <f t="shared" si="399"/>
        <v>0</v>
      </c>
      <c r="G575" s="27"/>
      <c r="H575" s="90"/>
      <c r="I575" s="27">
        <f t="shared" si="400"/>
        <v>0</v>
      </c>
      <c r="J575" s="27"/>
      <c r="K575" s="27">
        <f t="shared" si="401"/>
        <v>0</v>
      </c>
      <c r="L575" s="28" t="s">
        <v>11</v>
      </c>
      <c r="N575" s="4"/>
    </row>
    <row r="576" spans="1:14" ht="25.5" x14ac:dyDescent="0.25">
      <c r="A576" s="23" t="str">
        <f>IF(TRIM(E576)&lt;&gt;"",COUNTA($E$10:E576)&amp;"","")</f>
        <v>553</v>
      </c>
      <c r="B576" s="18" t="s">
        <v>119</v>
      </c>
      <c r="C576" s="19" t="s">
        <v>23</v>
      </c>
      <c r="D576" s="20"/>
      <c r="E576" s="21">
        <f>E568</f>
        <v>168.45</v>
      </c>
      <c r="F576" s="21">
        <f>G576+H576</f>
        <v>0</v>
      </c>
      <c r="G576" s="89"/>
      <c r="H576" s="21"/>
      <c r="I576" s="21">
        <f>J576+K576</f>
        <v>0</v>
      </c>
      <c r="J576" s="39">
        <f>ROUND(G576*E576,2)</f>
        <v>0</v>
      </c>
      <c r="K576" s="21"/>
      <c r="L576" s="22"/>
      <c r="N576" s="4"/>
    </row>
    <row r="577" spans="1:14" ht="25.5" x14ac:dyDescent="0.25">
      <c r="A577" s="23" t="str">
        <f>IF(TRIM(E577)&lt;&gt;"",COUNTA($E$10:E577)&amp;"","")</f>
        <v>554</v>
      </c>
      <c r="B577" s="24" t="s">
        <v>77</v>
      </c>
      <c r="C577" s="25" t="s">
        <v>1</v>
      </c>
      <c r="D577" s="26">
        <v>1.1399999999999999</v>
      </c>
      <c r="E577" s="27">
        <f>E576*0.6*D577</f>
        <v>115.21979999999998</v>
      </c>
      <c r="F577" s="27">
        <f t="shared" ref="F577:F582" si="402">G577+H577</f>
        <v>0</v>
      </c>
      <c r="G577" s="27"/>
      <c r="H577" s="90"/>
      <c r="I577" s="27">
        <f t="shared" ref="I577:I582" si="403">J577+K577</f>
        <v>0</v>
      </c>
      <c r="J577" s="27"/>
      <c r="K577" s="27">
        <f t="shared" ref="K577:K582" si="404">ROUND(H577*E577,2)</f>
        <v>0</v>
      </c>
      <c r="L577" s="30" t="s">
        <v>11</v>
      </c>
      <c r="N577" s="4"/>
    </row>
    <row r="578" spans="1:14" ht="25.5" x14ac:dyDescent="0.25">
      <c r="A578" s="23" t="str">
        <f>IF(TRIM(E578)&lt;&gt;"",COUNTA($E$10:E578)&amp;"","")</f>
        <v>555</v>
      </c>
      <c r="B578" s="24" t="s">
        <v>118</v>
      </c>
      <c r="C578" s="25" t="s">
        <v>1</v>
      </c>
      <c r="D578" s="26">
        <v>1.1599999999999999</v>
      </c>
      <c r="E578" s="27">
        <f>E576*0.6*D578</f>
        <v>117.24119999999998</v>
      </c>
      <c r="F578" s="27">
        <f t="shared" si="402"/>
        <v>0</v>
      </c>
      <c r="G578" s="27"/>
      <c r="H578" s="90"/>
      <c r="I578" s="27">
        <f t="shared" si="403"/>
        <v>0</v>
      </c>
      <c r="J578" s="27"/>
      <c r="K578" s="27">
        <f t="shared" si="404"/>
        <v>0</v>
      </c>
      <c r="L578" s="30" t="s">
        <v>11</v>
      </c>
      <c r="N578" s="4"/>
    </row>
    <row r="579" spans="1:14" ht="25.5" x14ac:dyDescent="0.25">
      <c r="A579" s="23" t="str">
        <f>IF(TRIM(E579)&lt;&gt;"",COUNTA($E$10:E579)&amp;"","")</f>
        <v>556</v>
      </c>
      <c r="B579" s="24" t="s">
        <v>117</v>
      </c>
      <c r="C579" s="32" t="s">
        <v>3</v>
      </c>
      <c r="D579" s="26">
        <v>0.6</v>
      </c>
      <c r="E579" s="27">
        <f>E576*D579</f>
        <v>101.07</v>
      </c>
      <c r="F579" s="27">
        <f t="shared" si="402"/>
        <v>0</v>
      </c>
      <c r="G579" s="27"/>
      <c r="H579" s="90"/>
      <c r="I579" s="27">
        <f t="shared" si="403"/>
        <v>0</v>
      </c>
      <c r="J579" s="27"/>
      <c r="K579" s="27">
        <f t="shared" si="404"/>
        <v>0</v>
      </c>
      <c r="L579" s="30" t="s">
        <v>11</v>
      </c>
      <c r="N579" s="4"/>
    </row>
    <row r="580" spans="1:14" ht="25.5" x14ac:dyDescent="0.25">
      <c r="A580" s="23" t="str">
        <f>IF(TRIM(E580)&lt;&gt;"",COUNTA($E$10:E580)&amp;"","")</f>
        <v>557</v>
      </c>
      <c r="B580" s="24" t="s">
        <v>33</v>
      </c>
      <c r="C580" s="36" t="s">
        <v>2</v>
      </c>
      <c r="D580" s="26">
        <v>1.03</v>
      </c>
      <c r="E580" s="27">
        <f>E576*D580</f>
        <v>173.5035</v>
      </c>
      <c r="F580" s="27">
        <f t="shared" si="402"/>
        <v>0</v>
      </c>
      <c r="G580" s="27"/>
      <c r="H580" s="90"/>
      <c r="I580" s="27">
        <f t="shared" si="403"/>
        <v>0</v>
      </c>
      <c r="J580" s="27"/>
      <c r="K580" s="27">
        <f t="shared" si="404"/>
        <v>0</v>
      </c>
      <c r="L580" s="30" t="s">
        <v>11</v>
      </c>
      <c r="N580" s="4"/>
    </row>
    <row r="581" spans="1:14" ht="25.5" x14ac:dyDescent="0.25">
      <c r="A581" s="23" t="str">
        <f>IF(TRIM(E581)&lt;&gt;"",COUNTA($E$10:E581)&amp;"","")</f>
        <v>558</v>
      </c>
      <c r="B581" s="24" t="s">
        <v>25</v>
      </c>
      <c r="C581" s="32" t="s">
        <v>0</v>
      </c>
      <c r="D581" s="26">
        <v>5</v>
      </c>
      <c r="E581" s="27">
        <f>ROUNDUP(E580*D581,0)</f>
        <v>868</v>
      </c>
      <c r="F581" s="27">
        <f t="shared" si="402"/>
        <v>0</v>
      </c>
      <c r="G581" s="27"/>
      <c r="H581" s="90"/>
      <c r="I581" s="27">
        <f t="shared" si="403"/>
        <v>0</v>
      </c>
      <c r="J581" s="27"/>
      <c r="K581" s="27">
        <f t="shared" si="404"/>
        <v>0</v>
      </c>
      <c r="L581" s="30" t="s">
        <v>11</v>
      </c>
      <c r="N581" s="4"/>
    </row>
    <row r="582" spans="1:14" ht="25.5" x14ac:dyDescent="0.25">
      <c r="A582" s="23" t="str">
        <f>IF(TRIM(E582)&lt;&gt;"",COUNTA($E$10:E582)&amp;"","")</f>
        <v>559</v>
      </c>
      <c r="B582" s="24" t="s">
        <v>57</v>
      </c>
      <c r="C582" s="37" t="s">
        <v>0</v>
      </c>
      <c r="D582" s="26">
        <v>0.15</v>
      </c>
      <c r="E582" s="27">
        <f>ROUNDDOWN(E576*0.15,0)</f>
        <v>25</v>
      </c>
      <c r="F582" s="27">
        <f t="shared" si="402"/>
        <v>0</v>
      </c>
      <c r="G582" s="27"/>
      <c r="H582" s="90"/>
      <c r="I582" s="27">
        <f t="shared" si="403"/>
        <v>0</v>
      </c>
      <c r="J582" s="27"/>
      <c r="K582" s="27">
        <f t="shared" si="404"/>
        <v>0</v>
      </c>
      <c r="L582" s="30" t="s">
        <v>11</v>
      </c>
      <c r="N582" s="4"/>
    </row>
    <row r="583" spans="1:14" x14ac:dyDescent="0.25">
      <c r="A583" s="23" t="str">
        <f>IF(TRIM(E583)&lt;&gt;"",COUNTA($E$10:E583)&amp;"","")</f>
        <v>560</v>
      </c>
      <c r="B583" s="18" t="s">
        <v>26</v>
      </c>
      <c r="C583" s="19" t="s">
        <v>0</v>
      </c>
      <c r="D583" s="20"/>
      <c r="E583" s="21">
        <v>2</v>
      </c>
      <c r="F583" s="21">
        <f>G583+H583</f>
        <v>0</v>
      </c>
      <c r="G583" s="89"/>
      <c r="H583" s="21"/>
      <c r="I583" s="21">
        <f>J583+K583</f>
        <v>0</v>
      </c>
      <c r="J583" s="39">
        <f>ROUND(G583*E583,2)</f>
        <v>0</v>
      </c>
      <c r="K583" s="21"/>
      <c r="L583" s="22"/>
      <c r="N583" s="4"/>
    </row>
    <row r="584" spans="1:14" ht="38.25" x14ac:dyDescent="0.25">
      <c r="A584" s="23" t="str">
        <f>IF(TRIM(E584)&lt;&gt;"",COUNTA($E$10:E584)&amp;"","")</f>
        <v>561</v>
      </c>
      <c r="B584" s="24" t="s">
        <v>120</v>
      </c>
      <c r="C584" s="25" t="s">
        <v>0</v>
      </c>
      <c r="D584" s="26">
        <v>1</v>
      </c>
      <c r="E584" s="27">
        <f>E583</f>
        <v>2</v>
      </c>
      <c r="F584" s="27">
        <f t="shared" ref="F584" si="405">G584+H584</f>
        <v>0</v>
      </c>
      <c r="G584" s="27"/>
      <c r="H584" s="90"/>
      <c r="I584" s="27">
        <f t="shared" ref="I584" si="406">J584+K584</f>
        <v>0</v>
      </c>
      <c r="J584" s="27"/>
      <c r="K584" s="27">
        <f>ROUND(H584*E584,2)</f>
        <v>0</v>
      </c>
      <c r="L584" s="30" t="s">
        <v>11</v>
      </c>
      <c r="N584" s="4"/>
    </row>
    <row r="585" spans="1:14" x14ac:dyDescent="0.25">
      <c r="A585" s="23" t="str">
        <f>IF(TRIM(E585)&lt;&gt;"",COUNTA($E$10:E585)&amp;"","")</f>
        <v>562</v>
      </c>
      <c r="B585" s="18" t="s">
        <v>46</v>
      </c>
      <c r="C585" s="19" t="s">
        <v>0</v>
      </c>
      <c r="D585" s="20"/>
      <c r="E585" s="21">
        <v>1</v>
      </c>
      <c r="F585" s="21">
        <f>G585+H585</f>
        <v>0</v>
      </c>
      <c r="G585" s="89"/>
      <c r="H585" s="21"/>
      <c r="I585" s="21">
        <f>J585+K585</f>
        <v>0</v>
      </c>
      <c r="J585" s="39">
        <f>ROUND(G585*E585,2)</f>
        <v>0</v>
      </c>
      <c r="K585" s="21"/>
      <c r="L585" s="22"/>
      <c r="N585" s="4"/>
    </row>
    <row r="586" spans="1:14" ht="25.5" x14ac:dyDescent="0.25">
      <c r="A586" s="23" t="str">
        <f>IF(TRIM(E586)&lt;&gt;"",COUNTA($E$10:E586)&amp;"","")</f>
        <v>563</v>
      </c>
      <c r="B586" s="24" t="s">
        <v>78</v>
      </c>
      <c r="C586" s="25" t="s">
        <v>0</v>
      </c>
      <c r="D586" s="26">
        <v>1</v>
      </c>
      <c r="E586" s="27">
        <f>E585</f>
        <v>1</v>
      </c>
      <c r="F586" s="27">
        <f t="shared" ref="F586" si="407">G586+H586</f>
        <v>0</v>
      </c>
      <c r="G586" s="27"/>
      <c r="H586" s="90"/>
      <c r="I586" s="27">
        <f t="shared" ref="I586" si="408">J586+K586</f>
        <v>0</v>
      </c>
      <c r="J586" s="27"/>
      <c r="K586" s="27">
        <f>ROUND(H586*E586,2)</f>
        <v>0</v>
      </c>
      <c r="L586" s="30" t="s">
        <v>11</v>
      </c>
      <c r="N586" s="4"/>
    </row>
    <row r="587" spans="1:14" x14ac:dyDescent="0.25">
      <c r="A587" s="23" t="str">
        <f>IF(TRIM(E587)&lt;&gt;"",COUNTA($E$10:E587)&amp;"","")</f>
        <v>564</v>
      </c>
      <c r="B587" s="18" t="s">
        <v>44</v>
      </c>
      <c r="C587" s="19" t="s">
        <v>0</v>
      </c>
      <c r="D587" s="20"/>
      <c r="E587" s="21">
        <v>5</v>
      </c>
      <c r="F587" s="21">
        <f>G587+H587</f>
        <v>0</v>
      </c>
      <c r="G587" s="89"/>
      <c r="H587" s="21"/>
      <c r="I587" s="21">
        <f>J587+K587</f>
        <v>0</v>
      </c>
      <c r="J587" s="39">
        <f>ROUND(G587*E587,2)</f>
        <v>0</v>
      </c>
      <c r="K587" s="21"/>
      <c r="L587" s="22"/>
      <c r="N587" s="4"/>
    </row>
    <row r="588" spans="1:14" ht="25.5" x14ac:dyDescent="0.25">
      <c r="A588" s="23" t="str">
        <f>IF(TRIM(E588)&lt;&gt;"",COUNTA($E$10:E588)&amp;"","")</f>
        <v>565</v>
      </c>
      <c r="B588" s="24" t="s">
        <v>54</v>
      </c>
      <c r="C588" s="25" t="s">
        <v>0</v>
      </c>
      <c r="D588" s="26">
        <v>1</v>
      </c>
      <c r="E588" s="27">
        <f>E587*D588</f>
        <v>5</v>
      </c>
      <c r="F588" s="27">
        <f t="shared" ref="F588" si="409">G588+H588</f>
        <v>0</v>
      </c>
      <c r="G588" s="27"/>
      <c r="H588" s="90"/>
      <c r="I588" s="27">
        <f t="shared" ref="I588" si="410">J588+K588</f>
        <v>0</v>
      </c>
      <c r="J588" s="27"/>
      <c r="K588" s="27">
        <f>ROUND(H588*E588,2)</f>
        <v>0</v>
      </c>
      <c r="L588" s="30" t="s">
        <v>11</v>
      </c>
      <c r="N588" s="4"/>
    </row>
    <row r="589" spans="1:14" x14ac:dyDescent="0.25">
      <c r="A589" s="23" t="str">
        <f>IF(TRIM(E589)&lt;&gt;"",COUNTA($E$10:E589)&amp;"","")</f>
        <v>566</v>
      </c>
      <c r="B589" s="18" t="s">
        <v>52</v>
      </c>
      <c r="C589" s="19" t="s">
        <v>0</v>
      </c>
      <c r="D589" s="20"/>
      <c r="E589" s="21">
        <v>1</v>
      </c>
      <c r="F589" s="21">
        <f>G589+H589</f>
        <v>0</v>
      </c>
      <c r="G589" s="89"/>
      <c r="H589" s="21"/>
      <c r="I589" s="21">
        <f>J589+K589</f>
        <v>0</v>
      </c>
      <c r="J589" s="39">
        <f>ROUND(G589*E589,2)</f>
        <v>0</v>
      </c>
      <c r="K589" s="21"/>
      <c r="L589" s="22"/>
      <c r="N589" s="4"/>
    </row>
    <row r="590" spans="1:14" ht="25.5" x14ac:dyDescent="0.25">
      <c r="A590" s="23" t="str">
        <f>IF(TRIM(E590)&lt;&gt;"",COUNTA($E$10:E590)&amp;"","")</f>
        <v>567</v>
      </c>
      <c r="B590" s="31" t="s">
        <v>49</v>
      </c>
      <c r="C590" s="25" t="s">
        <v>0</v>
      </c>
      <c r="D590" s="26">
        <v>0.15</v>
      </c>
      <c r="E590" s="27">
        <f>ROUNDUP(D590*E589,0)</f>
        <v>1</v>
      </c>
      <c r="F590" s="27">
        <f t="shared" ref="F590:F591" si="411">G590+H590</f>
        <v>0</v>
      </c>
      <c r="G590" s="27"/>
      <c r="H590" s="90"/>
      <c r="I590" s="27">
        <f t="shared" ref="I590:I591" si="412">J590+K590</f>
        <v>0</v>
      </c>
      <c r="J590" s="27"/>
      <c r="K590" s="27">
        <f t="shared" ref="K590:K591" si="413">ROUND(H590*E590,2)</f>
        <v>0</v>
      </c>
      <c r="L590" s="30" t="s">
        <v>11</v>
      </c>
      <c r="N590" s="4"/>
    </row>
    <row r="591" spans="1:14" ht="25.5" x14ac:dyDescent="0.25">
      <c r="A591" s="23" t="str">
        <f>IF(TRIM(E591)&lt;&gt;"",COUNTA($E$10:E591)&amp;"","")</f>
        <v>568</v>
      </c>
      <c r="B591" s="24" t="s">
        <v>55</v>
      </c>
      <c r="C591" s="25" t="s">
        <v>0</v>
      </c>
      <c r="D591" s="26">
        <v>1</v>
      </c>
      <c r="E591" s="27">
        <f>E589*D591</f>
        <v>1</v>
      </c>
      <c r="F591" s="27">
        <f t="shared" si="411"/>
        <v>0</v>
      </c>
      <c r="G591" s="27"/>
      <c r="H591" s="90"/>
      <c r="I591" s="27">
        <f t="shared" si="412"/>
        <v>0</v>
      </c>
      <c r="J591" s="27"/>
      <c r="K591" s="27">
        <f t="shared" si="413"/>
        <v>0</v>
      </c>
      <c r="L591" s="30" t="s">
        <v>11</v>
      </c>
      <c r="N591" s="4"/>
    </row>
    <row r="592" spans="1:14" x14ac:dyDescent="0.25">
      <c r="A592" s="23" t="str">
        <f>IF(TRIM(E592)&lt;&gt;"",COUNTA($E$10:E592)&amp;"","")</f>
        <v>569</v>
      </c>
      <c r="B592" s="18" t="s">
        <v>56</v>
      </c>
      <c r="C592" s="19" t="s">
        <v>0</v>
      </c>
      <c r="D592" s="20"/>
      <c r="E592" s="21">
        <v>1</v>
      </c>
      <c r="F592" s="21">
        <f>G592+H592</f>
        <v>0</v>
      </c>
      <c r="G592" s="89"/>
      <c r="H592" s="21"/>
      <c r="I592" s="21">
        <f>J592+K592</f>
        <v>0</v>
      </c>
      <c r="J592" s="39">
        <f>ROUND(G592*E592,2)</f>
        <v>0</v>
      </c>
      <c r="K592" s="21"/>
      <c r="L592" s="22"/>
      <c r="N592" s="4"/>
    </row>
    <row r="593" spans="1:14" ht="25.5" x14ac:dyDescent="0.25">
      <c r="A593" s="23" t="str">
        <f>IF(TRIM(E593)&lt;&gt;"",COUNTA($E$10:E593)&amp;"","")</f>
        <v>570</v>
      </c>
      <c r="B593" s="24" t="s">
        <v>79</v>
      </c>
      <c r="C593" s="25" t="s">
        <v>0</v>
      </c>
      <c r="D593" s="26">
        <v>1</v>
      </c>
      <c r="E593" s="27">
        <f>D593*E592</f>
        <v>1</v>
      </c>
      <c r="F593" s="27">
        <f t="shared" ref="F593:F596" si="414">G593+H593</f>
        <v>0</v>
      </c>
      <c r="G593" s="27"/>
      <c r="H593" s="90"/>
      <c r="I593" s="27">
        <f t="shared" ref="I593:I596" si="415">J593+K593</f>
        <v>0</v>
      </c>
      <c r="J593" s="27"/>
      <c r="K593" s="27">
        <f t="shared" ref="K593:K596" si="416">ROUND(H593*E593,2)</f>
        <v>0</v>
      </c>
      <c r="L593" s="30" t="s">
        <v>11</v>
      </c>
      <c r="N593" s="4"/>
    </row>
    <row r="594" spans="1:14" ht="25.5" x14ac:dyDescent="0.25">
      <c r="A594" s="23" t="str">
        <f>IF(TRIM(E594)&lt;&gt;"",COUNTA($E$10:E594)&amp;"","")</f>
        <v>571</v>
      </c>
      <c r="B594" s="24" t="s">
        <v>121</v>
      </c>
      <c r="C594" s="25" t="s">
        <v>0</v>
      </c>
      <c r="D594" s="26">
        <v>1</v>
      </c>
      <c r="E594" s="27">
        <f>D594*E592</f>
        <v>1</v>
      </c>
      <c r="F594" s="27">
        <f t="shared" si="414"/>
        <v>0</v>
      </c>
      <c r="G594" s="27"/>
      <c r="H594" s="90"/>
      <c r="I594" s="27">
        <f t="shared" si="415"/>
        <v>0</v>
      </c>
      <c r="J594" s="27"/>
      <c r="K594" s="27">
        <f t="shared" si="416"/>
        <v>0</v>
      </c>
      <c r="L594" s="30" t="s">
        <v>11</v>
      </c>
      <c r="N594" s="4"/>
    </row>
    <row r="595" spans="1:14" ht="25.5" x14ac:dyDescent="0.25">
      <c r="A595" s="23" t="str">
        <f>IF(TRIM(E595)&lt;&gt;"",COUNTA($E$10:E595)&amp;"","")</f>
        <v>572</v>
      </c>
      <c r="B595" s="24" t="s">
        <v>80</v>
      </c>
      <c r="C595" s="25" t="s">
        <v>0</v>
      </c>
      <c r="D595" s="26">
        <v>1</v>
      </c>
      <c r="E595" s="27">
        <f>D595*E592</f>
        <v>1</v>
      </c>
      <c r="F595" s="27">
        <f t="shared" si="414"/>
        <v>0</v>
      </c>
      <c r="G595" s="27"/>
      <c r="H595" s="90"/>
      <c r="I595" s="27">
        <f t="shared" si="415"/>
        <v>0</v>
      </c>
      <c r="J595" s="27"/>
      <c r="K595" s="27">
        <f t="shared" si="416"/>
        <v>0</v>
      </c>
      <c r="L595" s="30" t="s">
        <v>11</v>
      </c>
      <c r="N595" s="4"/>
    </row>
    <row r="596" spans="1:14" ht="25.5" x14ac:dyDescent="0.25">
      <c r="A596" s="23" t="str">
        <f>IF(TRIM(E596)&lt;&gt;"",COUNTA($E$10:E596)&amp;"","")</f>
        <v>573</v>
      </c>
      <c r="B596" s="24" t="s">
        <v>27</v>
      </c>
      <c r="C596" s="25" t="s">
        <v>0</v>
      </c>
      <c r="D596" s="26">
        <v>2</v>
      </c>
      <c r="E596" s="27">
        <f>D596*E592</f>
        <v>2</v>
      </c>
      <c r="F596" s="27">
        <f t="shared" si="414"/>
        <v>0</v>
      </c>
      <c r="G596" s="27"/>
      <c r="H596" s="90"/>
      <c r="I596" s="27">
        <f t="shared" si="415"/>
        <v>0</v>
      </c>
      <c r="J596" s="27"/>
      <c r="K596" s="27">
        <f t="shared" si="416"/>
        <v>0</v>
      </c>
      <c r="L596" s="30" t="s">
        <v>11</v>
      </c>
      <c r="N596" s="4"/>
    </row>
    <row r="597" spans="1:14" x14ac:dyDescent="0.25">
      <c r="A597" s="23" t="str">
        <f>IF(TRIM(E597)&lt;&gt;"",COUNTA($E$10:E597)&amp;"","")</f>
        <v>574</v>
      </c>
      <c r="B597" s="43" t="s">
        <v>171</v>
      </c>
      <c r="C597" s="19" t="s">
        <v>0</v>
      </c>
      <c r="D597" s="38"/>
      <c r="E597" s="21">
        <v>1</v>
      </c>
      <c r="F597" s="21">
        <f>G597+H597</f>
        <v>0</v>
      </c>
      <c r="G597" s="89"/>
      <c r="H597" s="21"/>
      <c r="I597" s="21">
        <f>J597+K597</f>
        <v>0</v>
      </c>
      <c r="J597" s="39">
        <f>ROUND(G597*E597,2)</f>
        <v>0</v>
      </c>
      <c r="K597" s="21"/>
      <c r="L597" s="40"/>
      <c r="N597" s="4"/>
    </row>
    <row r="598" spans="1:14" ht="25.5" x14ac:dyDescent="0.25">
      <c r="A598" s="23" t="str">
        <f>IF(TRIM(E598)&lt;&gt;"",COUNTA($E$10:E598)&amp;"","")</f>
        <v>575</v>
      </c>
      <c r="B598" s="31" t="s">
        <v>93</v>
      </c>
      <c r="C598" s="25" t="s">
        <v>3</v>
      </c>
      <c r="D598" s="37">
        <v>1.03</v>
      </c>
      <c r="E598" s="44">
        <f>ROUND((2.863*4.81)*2*D598*E597,2)</f>
        <v>28.37</v>
      </c>
      <c r="F598" s="27">
        <f t="shared" ref="F598:F609" si="417">G598+H598</f>
        <v>0</v>
      </c>
      <c r="G598" s="27"/>
      <c r="H598" s="90"/>
      <c r="I598" s="27">
        <f t="shared" ref="I598:I609" si="418">J598+K598</f>
        <v>0</v>
      </c>
      <c r="J598" s="27"/>
      <c r="K598" s="27">
        <f t="shared" ref="K598:K609" si="419">ROUND(H598*E598,2)</f>
        <v>0</v>
      </c>
      <c r="L598" s="30" t="s">
        <v>11</v>
      </c>
      <c r="N598" s="4"/>
    </row>
    <row r="599" spans="1:14" ht="25.5" x14ac:dyDescent="0.25">
      <c r="A599" s="23" t="str">
        <f>IF(TRIM(E599)&lt;&gt;"",COUNTA($E$10:E599)&amp;"","")</f>
        <v>576</v>
      </c>
      <c r="B599" s="31" t="s">
        <v>94</v>
      </c>
      <c r="C599" s="25" t="s">
        <v>3</v>
      </c>
      <c r="D599" s="37">
        <v>1.03</v>
      </c>
      <c r="E599" s="45">
        <f>ROUND((0.343*4.81)*2*D599*E597,2)</f>
        <v>3.4</v>
      </c>
      <c r="F599" s="27">
        <f t="shared" si="417"/>
        <v>0</v>
      </c>
      <c r="G599" s="27"/>
      <c r="H599" s="90"/>
      <c r="I599" s="27">
        <f t="shared" si="418"/>
        <v>0</v>
      </c>
      <c r="J599" s="27"/>
      <c r="K599" s="27">
        <f t="shared" si="419"/>
        <v>0</v>
      </c>
      <c r="L599" s="30" t="s">
        <v>11</v>
      </c>
      <c r="N599" s="4"/>
    </row>
    <row r="600" spans="1:14" ht="25.5" x14ac:dyDescent="0.25">
      <c r="A600" s="23" t="str">
        <f>IF(TRIM(E600)&lt;&gt;"",COUNTA($E$10:E600)&amp;"","")</f>
        <v>577</v>
      </c>
      <c r="B600" s="31" t="s">
        <v>95</v>
      </c>
      <c r="C600" s="25" t="s">
        <v>3</v>
      </c>
      <c r="D600" s="37">
        <v>1.03</v>
      </c>
      <c r="E600" s="45">
        <f>ROUND((0.48*4.81)*10*D600*E597,2)</f>
        <v>23.78</v>
      </c>
      <c r="F600" s="27">
        <f t="shared" si="417"/>
        <v>0</v>
      </c>
      <c r="G600" s="27"/>
      <c r="H600" s="90"/>
      <c r="I600" s="27">
        <f t="shared" si="418"/>
        <v>0</v>
      </c>
      <c r="J600" s="27"/>
      <c r="K600" s="27">
        <f t="shared" si="419"/>
        <v>0</v>
      </c>
      <c r="L600" s="30" t="s">
        <v>11</v>
      </c>
      <c r="N600" s="4"/>
    </row>
    <row r="601" spans="1:14" ht="25.5" x14ac:dyDescent="0.25">
      <c r="A601" s="23" t="str">
        <f>IF(TRIM(E601)&lt;&gt;"",COUNTA($E$10:E601)&amp;"","")</f>
        <v>578</v>
      </c>
      <c r="B601" s="31" t="s">
        <v>58</v>
      </c>
      <c r="C601" s="25" t="s">
        <v>3</v>
      </c>
      <c r="D601" s="37">
        <v>1.03</v>
      </c>
      <c r="E601" s="45">
        <f>ROUND((0.3*4.81)*2*D601*E597,2)</f>
        <v>2.97</v>
      </c>
      <c r="F601" s="27">
        <f t="shared" si="417"/>
        <v>0</v>
      </c>
      <c r="G601" s="27"/>
      <c r="H601" s="90"/>
      <c r="I601" s="27">
        <f t="shared" si="418"/>
        <v>0</v>
      </c>
      <c r="J601" s="27"/>
      <c r="K601" s="27">
        <f t="shared" si="419"/>
        <v>0</v>
      </c>
      <c r="L601" s="30" t="s">
        <v>11</v>
      </c>
      <c r="N601" s="4"/>
    </row>
    <row r="602" spans="1:14" ht="25.5" x14ac:dyDescent="0.25">
      <c r="A602" s="23" t="str">
        <f>IF(TRIM(E602)&lt;&gt;"",COUNTA($E$10:E602)&amp;"","")</f>
        <v>579</v>
      </c>
      <c r="B602" s="31" t="s">
        <v>59</v>
      </c>
      <c r="C602" s="25" t="s">
        <v>3</v>
      </c>
      <c r="D602" s="32">
        <v>1.03</v>
      </c>
      <c r="E602" s="45">
        <f>ROUND(5.55*0.73*8*D602*E597,2)</f>
        <v>33.380000000000003</v>
      </c>
      <c r="F602" s="27">
        <f t="shared" si="417"/>
        <v>0</v>
      </c>
      <c r="G602" s="27"/>
      <c r="H602" s="90"/>
      <c r="I602" s="27">
        <f t="shared" si="418"/>
        <v>0</v>
      </c>
      <c r="J602" s="27"/>
      <c r="K602" s="27">
        <f t="shared" si="419"/>
        <v>0</v>
      </c>
      <c r="L602" s="30" t="s">
        <v>11</v>
      </c>
      <c r="N602" s="4"/>
    </row>
    <row r="603" spans="1:14" ht="25.5" x14ac:dyDescent="0.25">
      <c r="A603" s="23" t="str">
        <f>IF(TRIM(E603)&lt;&gt;"",COUNTA($E$10:E603)&amp;"","")</f>
        <v>580</v>
      </c>
      <c r="B603" s="31" t="s">
        <v>122</v>
      </c>
      <c r="C603" s="25" t="s">
        <v>3</v>
      </c>
      <c r="D603" s="32">
        <v>1.03</v>
      </c>
      <c r="E603" s="45">
        <f>ROUND(4.43*2.48*2*D603*E597,2)</f>
        <v>22.63</v>
      </c>
      <c r="F603" s="27">
        <f t="shared" si="417"/>
        <v>0</v>
      </c>
      <c r="G603" s="27"/>
      <c r="H603" s="90"/>
      <c r="I603" s="27">
        <f t="shared" si="418"/>
        <v>0</v>
      </c>
      <c r="J603" s="27"/>
      <c r="K603" s="27">
        <f t="shared" si="419"/>
        <v>0</v>
      </c>
      <c r="L603" s="30" t="s">
        <v>11</v>
      </c>
      <c r="N603" s="4"/>
    </row>
    <row r="604" spans="1:14" ht="25.5" x14ac:dyDescent="0.25">
      <c r="A604" s="23" t="str">
        <f>IF(TRIM(E604)&lt;&gt;"",COUNTA($E$10:E604)&amp;"","")</f>
        <v>581</v>
      </c>
      <c r="B604" s="31" t="s">
        <v>60</v>
      </c>
      <c r="C604" s="25" t="s">
        <v>0</v>
      </c>
      <c r="D604" s="37">
        <v>1</v>
      </c>
      <c r="E604" s="46">
        <f>40*E597</f>
        <v>40</v>
      </c>
      <c r="F604" s="27">
        <f t="shared" si="417"/>
        <v>0</v>
      </c>
      <c r="G604" s="27"/>
      <c r="H604" s="90"/>
      <c r="I604" s="27">
        <f t="shared" si="418"/>
        <v>0</v>
      </c>
      <c r="J604" s="27"/>
      <c r="K604" s="27">
        <f t="shared" si="419"/>
        <v>0</v>
      </c>
      <c r="L604" s="30" t="s">
        <v>11</v>
      </c>
      <c r="N604" s="4"/>
    </row>
    <row r="605" spans="1:14" ht="25.5" x14ac:dyDescent="0.25">
      <c r="A605" s="23" t="str">
        <f>IF(TRIM(E605)&lt;&gt;"",COUNTA($E$10:E605)&amp;"","")</f>
        <v>582</v>
      </c>
      <c r="B605" s="31" t="s">
        <v>61</v>
      </c>
      <c r="C605" s="25" t="s">
        <v>3</v>
      </c>
      <c r="D605" s="37">
        <v>1.03</v>
      </c>
      <c r="E605" s="45">
        <f>ROUND((0.15*0.12*78.5)*8*D605*E597,2)</f>
        <v>11.64</v>
      </c>
      <c r="F605" s="27">
        <f t="shared" si="417"/>
        <v>0</v>
      </c>
      <c r="G605" s="27"/>
      <c r="H605" s="90"/>
      <c r="I605" s="27">
        <f t="shared" si="418"/>
        <v>0</v>
      </c>
      <c r="J605" s="27"/>
      <c r="K605" s="27">
        <f t="shared" si="419"/>
        <v>0</v>
      </c>
      <c r="L605" s="30" t="s">
        <v>11</v>
      </c>
      <c r="N605" s="4"/>
    </row>
    <row r="606" spans="1:14" ht="25.5" x14ac:dyDescent="0.25">
      <c r="A606" s="23" t="str">
        <f>IF(TRIM(E606)&lt;&gt;"",COUNTA($E$10:E606)&amp;"","")</f>
        <v>583</v>
      </c>
      <c r="B606" s="47" t="s">
        <v>96</v>
      </c>
      <c r="C606" s="25" t="s">
        <v>3</v>
      </c>
      <c r="D606" s="37">
        <v>1.03</v>
      </c>
      <c r="E606" s="45">
        <f>ROUND((1.19*0.73*39.25)*1*D606*E597,2)</f>
        <v>35.119999999999997</v>
      </c>
      <c r="F606" s="27">
        <f t="shared" si="417"/>
        <v>0</v>
      </c>
      <c r="G606" s="27"/>
      <c r="H606" s="90"/>
      <c r="I606" s="27">
        <f t="shared" si="418"/>
        <v>0</v>
      </c>
      <c r="J606" s="27"/>
      <c r="K606" s="27">
        <f t="shared" si="419"/>
        <v>0</v>
      </c>
      <c r="L606" s="30" t="s">
        <v>11</v>
      </c>
      <c r="N606" s="4"/>
    </row>
    <row r="607" spans="1:14" ht="25.5" x14ac:dyDescent="0.25">
      <c r="A607" s="23" t="str">
        <f>IF(TRIM(E607)&lt;&gt;"",COUNTA($E$10:E607)&amp;"","")</f>
        <v>584</v>
      </c>
      <c r="B607" s="31" t="s">
        <v>97</v>
      </c>
      <c r="C607" s="25" t="s">
        <v>3</v>
      </c>
      <c r="D607" s="37">
        <v>1.03</v>
      </c>
      <c r="E607" s="45">
        <f>ROUND((1.19*4.81)*2*D607*E597,2)</f>
        <v>11.79</v>
      </c>
      <c r="F607" s="27">
        <f t="shared" si="417"/>
        <v>0</v>
      </c>
      <c r="G607" s="27"/>
      <c r="H607" s="90"/>
      <c r="I607" s="27">
        <f t="shared" si="418"/>
        <v>0</v>
      </c>
      <c r="J607" s="27"/>
      <c r="K607" s="27">
        <f t="shared" si="419"/>
        <v>0</v>
      </c>
      <c r="L607" s="30" t="s">
        <v>11</v>
      </c>
      <c r="N607" s="4"/>
    </row>
    <row r="608" spans="1:14" ht="25.5" x14ac:dyDescent="0.25">
      <c r="A608" s="23" t="str">
        <f>IF(TRIM(E608)&lt;&gt;"",COUNTA($E$10:E608)&amp;"","")</f>
        <v>585</v>
      </c>
      <c r="B608" s="31" t="s">
        <v>62</v>
      </c>
      <c r="C608" s="25" t="s">
        <v>3</v>
      </c>
      <c r="D608" s="37">
        <v>1.03</v>
      </c>
      <c r="E608" s="45">
        <f>ROUND((0.73*4.81)*2*D608*E597,2)</f>
        <v>7.23</v>
      </c>
      <c r="F608" s="27">
        <f t="shared" si="417"/>
        <v>0</v>
      </c>
      <c r="G608" s="27"/>
      <c r="H608" s="90"/>
      <c r="I608" s="27">
        <f t="shared" si="418"/>
        <v>0</v>
      </c>
      <c r="J608" s="27"/>
      <c r="K608" s="27">
        <f t="shared" si="419"/>
        <v>0</v>
      </c>
      <c r="L608" s="30" t="s">
        <v>11</v>
      </c>
      <c r="N608" s="4"/>
    </row>
    <row r="609" spans="1:14" ht="25.5" x14ac:dyDescent="0.25">
      <c r="A609" s="23" t="str">
        <f>IF(TRIM(E609)&lt;&gt;"",COUNTA($E$10:E609)&amp;"","")</f>
        <v>586</v>
      </c>
      <c r="B609" s="31" t="s">
        <v>98</v>
      </c>
      <c r="C609" s="25" t="s">
        <v>3</v>
      </c>
      <c r="D609" s="37">
        <v>1.03</v>
      </c>
      <c r="E609" s="45">
        <f>ROUND((0.29*4.81)*2*D609*E597,2)</f>
        <v>2.87</v>
      </c>
      <c r="F609" s="27">
        <f t="shared" si="417"/>
        <v>0</v>
      </c>
      <c r="G609" s="27"/>
      <c r="H609" s="90"/>
      <c r="I609" s="27">
        <f t="shared" si="418"/>
        <v>0</v>
      </c>
      <c r="J609" s="27"/>
      <c r="K609" s="27">
        <f t="shared" si="419"/>
        <v>0</v>
      </c>
      <c r="L609" s="30" t="s">
        <v>11</v>
      </c>
      <c r="N609" s="4"/>
    </row>
    <row r="610" spans="1:14" ht="25.5" x14ac:dyDescent="0.25">
      <c r="A610" s="23" t="str">
        <f>IF(TRIM(E610)&lt;&gt;"",COUNTA($E$10:E610)&amp;"","")</f>
        <v>587</v>
      </c>
      <c r="B610" s="43" t="s">
        <v>114</v>
      </c>
      <c r="C610" s="19" t="s">
        <v>1</v>
      </c>
      <c r="D610" s="38"/>
      <c r="E610" s="21">
        <f>(8.7+2.2+1.26+1.1)/2*E597</f>
        <v>6.629999999999999</v>
      </c>
      <c r="F610" s="21">
        <f>G610+H610</f>
        <v>0</v>
      </c>
      <c r="G610" s="89"/>
      <c r="H610" s="21"/>
      <c r="I610" s="21">
        <f>J610+K610</f>
        <v>0</v>
      </c>
      <c r="J610" s="39">
        <f>ROUND(G610*E610,2)</f>
        <v>0</v>
      </c>
      <c r="K610" s="21"/>
      <c r="L610" s="40"/>
      <c r="N610" s="4"/>
    </row>
    <row r="611" spans="1:14" ht="25.5" x14ac:dyDescent="0.25">
      <c r="A611" s="23" t="str">
        <f>IF(TRIM(E611)&lt;&gt;"",COUNTA($E$10:E611)&amp;"","")</f>
        <v>588</v>
      </c>
      <c r="B611" s="31" t="s">
        <v>63</v>
      </c>
      <c r="C611" s="25" t="s">
        <v>3</v>
      </c>
      <c r="D611" s="37">
        <v>0.24</v>
      </c>
      <c r="E611" s="45">
        <f>ROUND((8.7+2.2+1.26+1.1)/2*D611*E597,2)</f>
        <v>1.59</v>
      </c>
      <c r="F611" s="27">
        <f t="shared" ref="F611:F612" si="420">G611+H611</f>
        <v>0</v>
      </c>
      <c r="G611" s="27"/>
      <c r="H611" s="90"/>
      <c r="I611" s="27">
        <f t="shared" ref="I611:I612" si="421">J611+K611</f>
        <v>0</v>
      </c>
      <c r="J611" s="27"/>
      <c r="K611" s="27">
        <f t="shared" ref="K611:K612" si="422">ROUND(H611*E611,2)</f>
        <v>0</v>
      </c>
      <c r="L611" s="30" t="s">
        <v>11</v>
      </c>
      <c r="N611" s="4"/>
    </row>
    <row r="612" spans="1:14" ht="25.5" x14ac:dyDescent="0.25">
      <c r="A612" s="23" t="str">
        <f>IF(TRIM(E612)&lt;&gt;"",COUNTA($E$10:E612)&amp;"","")</f>
        <v>589</v>
      </c>
      <c r="B612" s="31" t="s">
        <v>64</v>
      </c>
      <c r="C612" s="25" t="s">
        <v>3</v>
      </c>
      <c r="D612" s="37">
        <v>0.3</v>
      </c>
      <c r="E612" s="45">
        <f>ROUND((8.7+2.2+1.26+1.1)/2*D612*E597,2)</f>
        <v>1.99</v>
      </c>
      <c r="F612" s="27">
        <f t="shared" si="420"/>
        <v>0</v>
      </c>
      <c r="G612" s="27"/>
      <c r="H612" s="90"/>
      <c r="I612" s="27">
        <f t="shared" si="421"/>
        <v>0</v>
      </c>
      <c r="J612" s="27"/>
      <c r="K612" s="27">
        <f t="shared" si="422"/>
        <v>0</v>
      </c>
      <c r="L612" s="30" t="s">
        <v>11</v>
      </c>
      <c r="N612" s="4"/>
    </row>
    <row r="613" spans="1:14" x14ac:dyDescent="0.25">
      <c r="A613" s="23" t="str">
        <f>IF(TRIM(E613)&lt;&gt;"",COUNTA($E$10:E613)&amp;"","")</f>
        <v>590</v>
      </c>
      <c r="B613" s="18" t="s">
        <v>123</v>
      </c>
      <c r="C613" s="19" t="s">
        <v>23</v>
      </c>
      <c r="D613" s="20"/>
      <c r="E613" s="21">
        <f>6.2+60.82+14.53+7.53+40.3+19.76</f>
        <v>149.13999999999999</v>
      </c>
      <c r="F613" s="21">
        <f>G613+H613</f>
        <v>0</v>
      </c>
      <c r="G613" s="89"/>
      <c r="H613" s="21"/>
      <c r="I613" s="21">
        <f>J613+K613</f>
        <v>0</v>
      </c>
      <c r="J613" s="39">
        <f>ROUND(G613*E613,2)</f>
        <v>0</v>
      </c>
      <c r="K613" s="21"/>
      <c r="L613" s="22"/>
      <c r="M613" s="5"/>
      <c r="N613" s="4"/>
    </row>
    <row r="614" spans="1:14" ht="25.5" x14ac:dyDescent="0.25">
      <c r="A614" s="23" t="str">
        <f>IF(TRIM(E614)&lt;&gt;"",COUNTA($E$10:E614)&amp;"","")</f>
        <v>591</v>
      </c>
      <c r="B614" s="24" t="s">
        <v>25</v>
      </c>
      <c r="C614" s="26" t="s">
        <v>0</v>
      </c>
      <c r="D614" s="26">
        <v>5</v>
      </c>
      <c r="E614" s="41">
        <f>ROUND(E613*D614,0)</f>
        <v>746</v>
      </c>
      <c r="F614" s="27">
        <f t="shared" ref="F614:F627" si="423">G614+H614</f>
        <v>0</v>
      </c>
      <c r="G614" s="27"/>
      <c r="H614" s="90"/>
      <c r="I614" s="27">
        <f t="shared" ref="I614:I627" si="424">J614+K614</f>
        <v>0</v>
      </c>
      <c r="J614" s="27"/>
      <c r="K614" s="27">
        <f t="shared" ref="K614:K627" si="425">ROUND(H614*E614,2)</f>
        <v>0</v>
      </c>
      <c r="L614" s="26" t="s">
        <v>11</v>
      </c>
      <c r="N614" s="4"/>
    </row>
    <row r="615" spans="1:14" ht="25.5" x14ac:dyDescent="0.25">
      <c r="A615" s="23" t="str">
        <f>IF(TRIM(E615)&lt;&gt;"",COUNTA($E$10:E615)&amp;"","")</f>
        <v>592</v>
      </c>
      <c r="B615" s="24" t="s">
        <v>99</v>
      </c>
      <c r="C615" s="25" t="s">
        <v>23</v>
      </c>
      <c r="D615" s="26">
        <v>1.1000000000000001</v>
      </c>
      <c r="E615" s="27">
        <f>6.2*D615</f>
        <v>6.8200000000000012</v>
      </c>
      <c r="F615" s="27">
        <f t="shared" si="423"/>
        <v>0</v>
      </c>
      <c r="G615" s="27"/>
      <c r="H615" s="90"/>
      <c r="I615" s="27">
        <f t="shared" si="424"/>
        <v>0</v>
      </c>
      <c r="J615" s="27"/>
      <c r="K615" s="27">
        <f t="shared" si="425"/>
        <v>0</v>
      </c>
      <c r="L615" s="28" t="s">
        <v>11</v>
      </c>
      <c r="N615" s="4"/>
    </row>
    <row r="616" spans="1:14" ht="25.5" x14ac:dyDescent="0.25">
      <c r="A616" s="23" t="str">
        <f>IF(TRIM(E616)&lt;&gt;"",COUNTA($E$10:E616)&amp;"","")</f>
        <v>593</v>
      </c>
      <c r="B616" s="24" t="s">
        <v>100</v>
      </c>
      <c r="C616" s="25" t="s">
        <v>23</v>
      </c>
      <c r="D616" s="26">
        <v>1.1000000000000001</v>
      </c>
      <c r="E616" s="27">
        <f>60.82*D616</f>
        <v>66.902000000000001</v>
      </c>
      <c r="F616" s="27">
        <f t="shared" si="423"/>
        <v>0</v>
      </c>
      <c r="G616" s="27"/>
      <c r="H616" s="90"/>
      <c r="I616" s="27">
        <f t="shared" si="424"/>
        <v>0</v>
      </c>
      <c r="J616" s="27"/>
      <c r="K616" s="27">
        <f t="shared" si="425"/>
        <v>0</v>
      </c>
      <c r="L616" s="28" t="s">
        <v>11</v>
      </c>
      <c r="N616" s="4"/>
    </row>
    <row r="617" spans="1:14" ht="25.5" x14ac:dyDescent="0.25">
      <c r="A617" s="23" t="str">
        <f>IF(TRIM(E617)&lt;&gt;"",COUNTA($E$10:E617)&amp;"","")</f>
        <v>594</v>
      </c>
      <c r="B617" s="24" t="s">
        <v>101</v>
      </c>
      <c r="C617" s="25" t="s">
        <v>23</v>
      </c>
      <c r="D617" s="26">
        <v>1.1000000000000001</v>
      </c>
      <c r="E617" s="27">
        <f>14.53*D617</f>
        <v>15.983000000000001</v>
      </c>
      <c r="F617" s="27">
        <f t="shared" si="423"/>
        <v>0</v>
      </c>
      <c r="G617" s="27"/>
      <c r="H617" s="90"/>
      <c r="I617" s="27">
        <f t="shared" si="424"/>
        <v>0</v>
      </c>
      <c r="J617" s="27"/>
      <c r="K617" s="27">
        <f t="shared" si="425"/>
        <v>0</v>
      </c>
      <c r="L617" s="28" t="s">
        <v>11</v>
      </c>
      <c r="N617" s="4"/>
    </row>
    <row r="618" spans="1:14" ht="25.5" x14ac:dyDescent="0.25">
      <c r="A618" s="23" t="str">
        <f>IF(TRIM(E618)&lt;&gt;"",COUNTA($E$10:E618)&amp;"","")</f>
        <v>595</v>
      </c>
      <c r="B618" s="24" t="s">
        <v>102</v>
      </c>
      <c r="C618" s="25" t="s">
        <v>23</v>
      </c>
      <c r="D618" s="26">
        <v>1.1000000000000001</v>
      </c>
      <c r="E618" s="27">
        <f>7.53*D618</f>
        <v>8.2830000000000013</v>
      </c>
      <c r="F618" s="27">
        <f t="shared" si="423"/>
        <v>0</v>
      </c>
      <c r="G618" s="27"/>
      <c r="H618" s="90"/>
      <c r="I618" s="27">
        <f t="shared" si="424"/>
        <v>0</v>
      </c>
      <c r="J618" s="27"/>
      <c r="K618" s="27">
        <f t="shared" si="425"/>
        <v>0</v>
      </c>
      <c r="L618" s="28" t="s">
        <v>11</v>
      </c>
      <c r="N618" s="4"/>
    </row>
    <row r="619" spans="1:14" ht="25.5" x14ac:dyDescent="0.25">
      <c r="A619" s="23" t="str">
        <f>IF(TRIM(E619)&lt;&gt;"",COUNTA($E$10:E619)&amp;"","")</f>
        <v>596</v>
      </c>
      <c r="B619" s="24" t="s">
        <v>103</v>
      </c>
      <c r="C619" s="25" t="s">
        <v>23</v>
      </c>
      <c r="D619" s="26">
        <v>1.1000000000000001</v>
      </c>
      <c r="E619" s="27">
        <f>40.3*D619</f>
        <v>44.33</v>
      </c>
      <c r="F619" s="27">
        <f t="shared" si="423"/>
        <v>0</v>
      </c>
      <c r="G619" s="27"/>
      <c r="H619" s="90"/>
      <c r="I619" s="27">
        <f t="shared" si="424"/>
        <v>0</v>
      </c>
      <c r="J619" s="27"/>
      <c r="K619" s="27">
        <f t="shared" si="425"/>
        <v>0</v>
      </c>
      <c r="L619" s="28" t="s">
        <v>11</v>
      </c>
      <c r="N619" s="4"/>
    </row>
    <row r="620" spans="1:14" ht="25.5" x14ac:dyDescent="0.25">
      <c r="A620" s="23" t="str">
        <f>IF(TRIM(E620)&lt;&gt;"",COUNTA($E$10:E620)&amp;"","")</f>
        <v>597</v>
      </c>
      <c r="B620" s="24" t="s">
        <v>112</v>
      </c>
      <c r="C620" s="25" t="s">
        <v>23</v>
      </c>
      <c r="D620" s="26">
        <v>1.1000000000000001</v>
      </c>
      <c r="E620" s="27">
        <f>19.76*D620</f>
        <v>21.736000000000004</v>
      </c>
      <c r="F620" s="27">
        <f t="shared" si="423"/>
        <v>0</v>
      </c>
      <c r="G620" s="27"/>
      <c r="H620" s="90"/>
      <c r="I620" s="27">
        <f t="shared" si="424"/>
        <v>0</v>
      </c>
      <c r="J620" s="27"/>
      <c r="K620" s="27">
        <f t="shared" si="425"/>
        <v>0</v>
      </c>
      <c r="L620" s="28" t="s">
        <v>11</v>
      </c>
      <c r="N620" s="4"/>
    </row>
    <row r="621" spans="1:14" ht="25.5" x14ac:dyDescent="0.25">
      <c r="A621" s="23" t="str">
        <f>IF(TRIM(E621)&lt;&gt;"",COUNTA($E$10:E621)&amp;"","")</f>
        <v>598</v>
      </c>
      <c r="B621" s="24" t="s">
        <v>105</v>
      </c>
      <c r="C621" s="25" t="s">
        <v>0</v>
      </c>
      <c r="D621" s="26">
        <v>1</v>
      </c>
      <c r="E621" s="27">
        <v>10</v>
      </c>
      <c r="F621" s="27">
        <f t="shared" si="423"/>
        <v>0</v>
      </c>
      <c r="G621" s="27"/>
      <c r="H621" s="90"/>
      <c r="I621" s="27">
        <f t="shared" si="424"/>
        <v>0</v>
      </c>
      <c r="J621" s="27"/>
      <c r="K621" s="27">
        <f t="shared" si="425"/>
        <v>0</v>
      </c>
      <c r="L621" s="30" t="s">
        <v>11</v>
      </c>
      <c r="M621" s="6"/>
      <c r="N621" s="4"/>
    </row>
    <row r="622" spans="1:14" ht="25.5" x14ac:dyDescent="0.25">
      <c r="A622" s="23" t="str">
        <f>IF(TRIM(E622)&lt;&gt;"",COUNTA($E$10:E622)&amp;"","")</f>
        <v>599</v>
      </c>
      <c r="B622" s="24" t="s">
        <v>106</v>
      </c>
      <c r="C622" s="25" t="s">
        <v>0</v>
      </c>
      <c r="D622" s="26">
        <v>1</v>
      </c>
      <c r="E622" s="27">
        <v>102</v>
      </c>
      <c r="F622" s="27">
        <f t="shared" si="423"/>
        <v>0</v>
      </c>
      <c r="G622" s="27"/>
      <c r="H622" s="90"/>
      <c r="I622" s="27">
        <f t="shared" si="424"/>
        <v>0</v>
      </c>
      <c r="J622" s="27"/>
      <c r="K622" s="27">
        <f t="shared" si="425"/>
        <v>0</v>
      </c>
      <c r="L622" s="30" t="s">
        <v>11</v>
      </c>
      <c r="M622" s="6"/>
      <c r="N622" s="4"/>
    </row>
    <row r="623" spans="1:14" ht="25.5" x14ac:dyDescent="0.25">
      <c r="A623" s="23" t="str">
        <f>IF(TRIM(E623)&lt;&gt;"",COUNTA($E$10:E623)&amp;"","")</f>
        <v>600</v>
      </c>
      <c r="B623" s="24" t="s">
        <v>107</v>
      </c>
      <c r="C623" s="25" t="s">
        <v>0</v>
      </c>
      <c r="D623" s="26">
        <v>1</v>
      </c>
      <c r="E623" s="27">
        <v>25</v>
      </c>
      <c r="F623" s="27">
        <f t="shared" si="423"/>
        <v>0</v>
      </c>
      <c r="G623" s="27"/>
      <c r="H623" s="90"/>
      <c r="I623" s="27">
        <f t="shared" si="424"/>
        <v>0</v>
      </c>
      <c r="J623" s="27"/>
      <c r="K623" s="27">
        <f t="shared" si="425"/>
        <v>0</v>
      </c>
      <c r="L623" s="30" t="s">
        <v>11</v>
      </c>
      <c r="M623" s="6"/>
      <c r="N623" s="4"/>
    </row>
    <row r="624" spans="1:14" ht="25.5" x14ac:dyDescent="0.25">
      <c r="A624" s="23" t="str">
        <f>IF(TRIM(E624)&lt;&gt;"",COUNTA($E$10:E624)&amp;"","")</f>
        <v>601</v>
      </c>
      <c r="B624" s="24" t="s">
        <v>108</v>
      </c>
      <c r="C624" s="25" t="s">
        <v>0</v>
      </c>
      <c r="D624" s="26">
        <v>1</v>
      </c>
      <c r="E624" s="27">
        <v>12</v>
      </c>
      <c r="F624" s="27">
        <f t="shared" si="423"/>
        <v>0</v>
      </c>
      <c r="G624" s="27"/>
      <c r="H624" s="90"/>
      <c r="I624" s="27">
        <f t="shared" si="424"/>
        <v>0</v>
      </c>
      <c r="J624" s="27"/>
      <c r="K624" s="27">
        <f t="shared" si="425"/>
        <v>0</v>
      </c>
      <c r="L624" s="30" t="s">
        <v>11</v>
      </c>
      <c r="M624" s="6"/>
      <c r="N624" s="4"/>
    </row>
    <row r="625" spans="1:14" ht="25.5" x14ac:dyDescent="0.25">
      <c r="A625" s="23" t="str">
        <f>IF(TRIM(E625)&lt;&gt;"",COUNTA($E$10:E625)&amp;"","")</f>
        <v>602</v>
      </c>
      <c r="B625" s="24" t="s">
        <v>109</v>
      </c>
      <c r="C625" s="25" t="s">
        <v>0</v>
      </c>
      <c r="D625" s="26">
        <v>1</v>
      </c>
      <c r="E625" s="27">
        <v>68</v>
      </c>
      <c r="F625" s="27">
        <f t="shared" si="423"/>
        <v>0</v>
      </c>
      <c r="G625" s="27"/>
      <c r="H625" s="90"/>
      <c r="I625" s="27">
        <f t="shared" si="424"/>
        <v>0</v>
      </c>
      <c r="J625" s="27"/>
      <c r="K625" s="27">
        <f t="shared" si="425"/>
        <v>0</v>
      </c>
      <c r="L625" s="30" t="s">
        <v>11</v>
      </c>
      <c r="M625" s="6"/>
      <c r="N625" s="4"/>
    </row>
    <row r="626" spans="1:14" ht="25.5" x14ac:dyDescent="0.25">
      <c r="A626" s="23" t="str">
        <f>IF(TRIM(E626)&lt;&gt;"",COUNTA($E$10:E626)&amp;"","")</f>
        <v>603</v>
      </c>
      <c r="B626" s="24" t="s">
        <v>111</v>
      </c>
      <c r="C626" s="25" t="s">
        <v>0</v>
      </c>
      <c r="D626" s="26">
        <v>1</v>
      </c>
      <c r="E626" s="27">
        <v>3</v>
      </c>
      <c r="F626" s="27">
        <f t="shared" si="423"/>
        <v>0</v>
      </c>
      <c r="G626" s="27"/>
      <c r="H626" s="90"/>
      <c r="I626" s="27">
        <f t="shared" si="424"/>
        <v>0</v>
      </c>
      <c r="J626" s="27"/>
      <c r="K626" s="27">
        <f t="shared" si="425"/>
        <v>0</v>
      </c>
      <c r="L626" s="30" t="s">
        <v>11</v>
      </c>
      <c r="M626" s="6"/>
      <c r="N626" s="4"/>
    </row>
    <row r="627" spans="1:14" ht="25.5" x14ac:dyDescent="0.25">
      <c r="A627" s="23" t="str">
        <f>IF(TRIM(E627)&lt;&gt;"",COUNTA($E$10:E627)&amp;"","")</f>
        <v>604</v>
      </c>
      <c r="B627" s="24" t="s">
        <v>21</v>
      </c>
      <c r="C627" s="25" t="s">
        <v>22</v>
      </c>
      <c r="D627" s="34">
        <v>1.0149999999999999</v>
      </c>
      <c r="E627" s="27">
        <f>(E613)*0.48*((0.05+0.093)/2)*D627</f>
        <v>5.1952620719999993</v>
      </c>
      <c r="F627" s="27">
        <f t="shared" si="423"/>
        <v>0</v>
      </c>
      <c r="G627" s="27"/>
      <c r="H627" s="90"/>
      <c r="I627" s="27">
        <f t="shared" si="424"/>
        <v>0</v>
      </c>
      <c r="J627" s="27"/>
      <c r="K627" s="27">
        <f t="shared" si="425"/>
        <v>0</v>
      </c>
      <c r="L627" s="30" t="s">
        <v>11</v>
      </c>
      <c r="N627" s="4"/>
    </row>
    <row r="628" spans="1:14" x14ac:dyDescent="0.25">
      <c r="A628" s="23" t="str">
        <f>IF(TRIM(E628)&lt;&gt;"",COUNTA($E$10:E628)&amp;"","")</f>
        <v>605</v>
      </c>
      <c r="B628" s="18" t="s">
        <v>53</v>
      </c>
      <c r="C628" s="19" t="s">
        <v>23</v>
      </c>
      <c r="D628" s="20"/>
      <c r="E628" s="21">
        <v>1.56</v>
      </c>
      <c r="F628" s="21">
        <f>G628+H628</f>
        <v>0</v>
      </c>
      <c r="G628" s="89"/>
      <c r="H628" s="21"/>
      <c r="I628" s="21">
        <f>J628+K628</f>
        <v>0</v>
      </c>
      <c r="J628" s="39">
        <f>ROUND(G628*E628,2)</f>
        <v>0</v>
      </c>
      <c r="K628" s="21"/>
      <c r="L628" s="22"/>
      <c r="N628" s="4"/>
    </row>
    <row r="629" spans="1:14" ht="25.5" x14ac:dyDescent="0.25">
      <c r="A629" s="23" t="str">
        <f>IF(TRIM(E629)&lt;&gt;"",COUNTA($E$10:E629)&amp;"","")</f>
        <v>606</v>
      </c>
      <c r="B629" s="24" t="s">
        <v>25</v>
      </c>
      <c r="C629" s="26" t="s">
        <v>0</v>
      </c>
      <c r="D629" s="26">
        <v>5</v>
      </c>
      <c r="E629" s="41">
        <f>ROUND(E628*D629,0)</f>
        <v>8</v>
      </c>
      <c r="F629" s="27">
        <f t="shared" ref="F629:F630" si="426">G629+H629</f>
        <v>0</v>
      </c>
      <c r="G629" s="27"/>
      <c r="H629" s="90"/>
      <c r="I629" s="27">
        <f t="shared" ref="I629:I630" si="427">J629+K629</f>
        <v>0</v>
      </c>
      <c r="J629" s="27"/>
      <c r="K629" s="27">
        <f t="shared" ref="K629:K630" si="428">ROUND(H629*E629,2)</f>
        <v>0</v>
      </c>
      <c r="L629" s="26" t="s">
        <v>11</v>
      </c>
      <c r="N629" s="4"/>
    </row>
    <row r="630" spans="1:14" ht="25.5" x14ac:dyDescent="0.25">
      <c r="A630" s="23" t="str">
        <f>IF(TRIM(E630)&lt;&gt;"",COUNTA($E$10:E630)&amp;"","")</f>
        <v>607</v>
      </c>
      <c r="B630" s="24" t="s">
        <v>113</v>
      </c>
      <c r="C630" s="25" t="s">
        <v>23</v>
      </c>
      <c r="D630" s="26">
        <v>1.1000000000000001</v>
      </c>
      <c r="E630" s="27">
        <f>E628*D630</f>
        <v>1.7160000000000002</v>
      </c>
      <c r="F630" s="27">
        <f t="shared" si="426"/>
        <v>0</v>
      </c>
      <c r="G630" s="27"/>
      <c r="H630" s="90"/>
      <c r="I630" s="27">
        <f t="shared" si="427"/>
        <v>0</v>
      </c>
      <c r="J630" s="27"/>
      <c r="K630" s="27">
        <f t="shared" si="428"/>
        <v>0</v>
      </c>
      <c r="L630" s="28" t="s">
        <v>11</v>
      </c>
      <c r="N630" s="4"/>
    </row>
    <row r="631" spans="1:14" ht="51" x14ac:dyDescent="0.25">
      <c r="A631" s="23" t="str">
        <f>IF(TRIM(E631)&lt;&gt;"",COUNTA($E$10:E631)&amp;"","")</f>
        <v>608</v>
      </c>
      <c r="B631" s="42" t="s">
        <v>124</v>
      </c>
      <c r="C631" s="19" t="s">
        <v>0</v>
      </c>
      <c r="D631" s="20"/>
      <c r="E631" s="21">
        <f>SUM(E632:E635)</f>
        <v>5</v>
      </c>
      <c r="F631" s="21">
        <f>G631+H631</f>
        <v>0</v>
      </c>
      <c r="G631" s="89"/>
      <c r="H631" s="21"/>
      <c r="I631" s="21">
        <f>J631+K631</f>
        <v>0</v>
      </c>
      <c r="J631" s="39">
        <f>ROUND(G631*E631,2)</f>
        <v>0</v>
      </c>
      <c r="K631" s="21"/>
      <c r="L631" s="22"/>
      <c r="N631" s="4"/>
    </row>
    <row r="632" spans="1:14" ht="25.5" x14ac:dyDescent="0.25">
      <c r="A632" s="23" t="str">
        <f>IF(TRIM(E632)&lt;&gt;"",COUNTA($E$10:E632)&amp;"","")</f>
        <v>609</v>
      </c>
      <c r="B632" s="24" t="s">
        <v>216</v>
      </c>
      <c r="C632" s="25" t="s">
        <v>0</v>
      </c>
      <c r="D632" s="26">
        <v>1</v>
      </c>
      <c r="E632" s="27">
        <v>1</v>
      </c>
      <c r="F632" s="27">
        <f t="shared" ref="F632:F635" si="429">G632+H632</f>
        <v>0</v>
      </c>
      <c r="G632" s="27"/>
      <c r="H632" s="90"/>
      <c r="I632" s="27">
        <f t="shared" ref="I632:I635" si="430">J632+K632</f>
        <v>0</v>
      </c>
      <c r="J632" s="27"/>
      <c r="K632" s="27">
        <f t="shared" ref="K632:K635" si="431">ROUND(H632*E632,2)</f>
        <v>0</v>
      </c>
      <c r="L632" s="28" t="s">
        <v>11</v>
      </c>
      <c r="N632" s="4"/>
    </row>
    <row r="633" spans="1:14" ht="25.5" x14ac:dyDescent="0.25">
      <c r="A633" s="23" t="str">
        <f>IF(TRIM(E633)&lt;&gt;"",COUNTA($E$10:E633)&amp;"","")</f>
        <v>610</v>
      </c>
      <c r="B633" s="24" t="s">
        <v>178</v>
      </c>
      <c r="C633" s="25" t="s">
        <v>0</v>
      </c>
      <c r="D633" s="26">
        <v>1</v>
      </c>
      <c r="E633" s="27">
        <v>1</v>
      </c>
      <c r="F633" s="27">
        <f t="shared" si="429"/>
        <v>0</v>
      </c>
      <c r="G633" s="27"/>
      <c r="H633" s="90"/>
      <c r="I633" s="27">
        <f t="shared" si="430"/>
        <v>0</v>
      </c>
      <c r="J633" s="27"/>
      <c r="K633" s="27">
        <f t="shared" si="431"/>
        <v>0</v>
      </c>
      <c r="L633" s="28" t="s">
        <v>11</v>
      </c>
      <c r="N633" s="4"/>
    </row>
    <row r="634" spans="1:14" ht="25.5" x14ac:dyDescent="0.25">
      <c r="A634" s="23" t="str">
        <f>IF(TRIM(E634)&lt;&gt;"",COUNTA($E$10:E634)&amp;"","")</f>
        <v>611</v>
      </c>
      <c r="B634" s="24" t="s">
        <v>217</v>
      </c>
      <c r="C634" s="25" t="s">
        <v>0</v>
      </c>
      <c r="D634" s="26">
        <v>1</v>
      </c>
      <c r="E634" s="27">
        <v>1</v>
      </c>
      <c r="F634" s="27">
        <f t="shared" si="429"/>
        <v>0</v>
      </c>
      <c r="G634" s="27"/>
      <c r="H634" s="90"/>
      <c r="I634" s="27">
        <f t="shared" si="430"/>
        <v>0</v>
      </c>
      <c r="J634" s="27"/>
      <c r="K634" s="27">
        <f t="shared" si="431"/>
        <v>0</v>
      </c>
      <c r="L634" s="28" t="s">
        <v>11</v>
      </c>
      <c r="N634" s="4"/>
    </row>
    <row r="635" spans="1:14" ht="25.5" x14ac:dyDescent="0.25">
      <c r="A635" s="23" t="str">
        <f>IF(TRIM(E635)&lt;&gt;"",COUNTA($E$10:E635)&amp;"","")</f>
        <v>612</v>
      </c>
      <c r="B635" s="24" t="s">
        <v>191</v>
      </c>
      <c r="C635" s="25" t="s">
        <v>0</v>
      </c>
      <c r="D635" s="26">
        <v>1</v>
      </c>
      <c r="E635" s="27">
        <v>2</v>
      </c>
      <c r="F635" s="27">
        <f t="shared" si="429"/>
        <v>0</v>
      </c>
      <c r="G635" s="27"/>
      <c r="H635" s="90"/>
      <c r="I635" s="27">
        <f t="shared" si="430"/>
        <v>0</v>
      </c>
      <c r="J635" s="27"/>
      <c r="K635" s="27">
        <f t="shared" si="431"/>
        <v>0</v>
      </c>
      <c r="L635" s="28" t="s">
        <v>11</v>
      </c>
      <c r="N635" s="4"/>
    </row>
    <row r="636" spans="1:14" ht="51" x14ac:dyDescent="0.25">
      <c r="A636" s="23" t="str">
        <f>IF(TRIM(E636)&lt;&gt;"",COUNTA($E$10:E636)&amp;"","")</f>
        <v>613</v>
      </c>
      <c r="B636" s="18" t="s">
        <v>141</v>
      </c>
      <c r="C636" s="19" t="s">
        <v>0</v>
      </c>
      <c r="D636" s="20"/>
      <c r="E636" s="21">
        <f>SUM(E637:E638)</f>
        <v>2</v>
      </c>
      <c r="F636" s="21">
        <f>G636+H636</f>
        <v>0</v>
      </c>
      <c r="G636" s="89"/>
      <c r="H636" s="21"/>
      <c r="I636" s="21">
        <f>J636+K636</f>
        <v>0</v>
      </c>
      <c r="J636" s="39">
        <f>ROUND(G636*E636,2)</f>
        <v>0</v>
      </c>
      <c r="K636" s="21"/>
      <c r="L636" s="22"/>
      <c r="N636" s="4"/>
    </row>
    <row r="637" spans="1:14" ht="25.5" x14ac:dyDescent="0.25">
      <c r="A637" s="23" t="str">
        <f>IF(TRIM(E637)&lt;&gt;"",COUNTA($E$10:E637)&amp;"","")</f>
        <v>614</v>
      </c>
      <c r="B637" s="24" t="s">
        <v>218</v>
      </c>
      <c r="C637" s="25" t="s">
        <v>0</v>
      </c>
      <c r="D637" s="26">
        <v>1</v>
      </c>
      <c r="E637" s="27">
        <v>1</v>
      </c>
      <c r="F637" s="27">
        <f t="shared" ref="F637:F638" si="432">G637+H637</f>
        <v>0</v>
      </c>
      <c r="G637" s="27"/>
      <c r="H637" s="90"/>
      <c r="I637" s="27">
        <f t="shared" ref="I637:I638" si="433">J637+K637</f>
        <v>0</v>
      </c>
      <c r="J637" s="27"/>
      <c r="K637" s="27">
        <f t="shared" ref="K637:K638" si="434">ROUND(H637*E637,2)</f>
        <v>0</v>
      </c>
      <c r="L637" s="28" t="s">
        <v>11</v>
      </c>
      <c r="N637" s="4"/>
    </row>
    <row r="638" spans="1:14" ht="25.5" x14ac:dyDescent="0.25">
      <c r="A638" s="23" t="str">
        <f>IF(TRIM(E638)&lt;&gt;"",COUNTA($E$10:E638)&amp;"","")</f>
        <v>615</v>
      </c>
      <c r="B638" s="24" t="s">
        <v>219</v>
      </c>
      <c r="C638" s="25" t="s">
        <v>0</v>
      </c>
      <c r="D638" s="26">
        <v>1</v>
      </c>
      <c r="E638" s="27">
        <v>1</v>
      </c>
      <c r="F638" s="27">
        <f t="shared" si="432"/>
        <v>0</v>
      </c>
      <c r="G638" s="27"/>
      <c r="H638" s="90"/>
      <c r="I638" s="27">
        <f t="shared" si="433"/>
        <v>0</v>
      </c>
      <c r="J638" s="27"/>
      <c r="K638" s="27">
        <f t="shared" si="434"/>
        <v>0</v>
      </c>
      <c r="L638" s="28" t="s">
        <v>11</v>
      </c>
      <c r="N638" s="4"/>
    </row>
    <row r="639" spans="1:14" ht="51" x14ac:dyDescent="0.25">
      <c r="A639" s="23" t="str">
        <f>IF(TRIM(E639)&lt;&gt;"",COUNTA($E$10:E639)&amp;"","")</f>
        <v>616</v>
      </c>
      <c r="B639" s="18" t="s">
        <v>156</v>
      </c>
      <c r="C639" s="19" t="s">
        <v>0</v>
      </c>
      <c r="D639" s="20"/>
      <c r="E639" s="21">
        <f>E641+E642+E640</f>
        <v>3</v>
      </c>
      <c r="F639" s="21">
        <f>G639+H639</f>
        <v>0</v>
      </c>
      <c r="G639" s="89"/>
      <c r="H639" s="21"/>
      <c r="I639" s="21">
        <f>J639+K639</f>
        <v>0</v>
      </c>
      <c r="J639" s="39">
        <f>ROUND(G639*E639,2)</f>
        <v>0</v>
      </c>
      <c r="K639" s="21"/>
      <c r="L639" s="22"/>
      <c r="N639" s="4"/>
    </row>
    <row r="640" spans="1:14" ht="25.5" x14ac:dyDescent="0.25">
      <c r="A640" s="23" t="str">
        <f>IF(TRIM(E640)&lt;&gt;"",COUNTA($E$10:E640)&amp;"","")</f>
        <v>617</v>
      </c>
      <c r="B640" s="24" t="s">
        <v>220</v>
      </c>
      <c r="C640" s="25" t="s">
        <v>0</v>
      </c>
      <c r="D640" s="26">
        <v>1</v>
      </c>
      <c r="E640" s="27">
        <v>1</v>
      </c>
      <c r="F640" s="27">
        <f t="shared" ref="F640:F642" si="435">G640+H640</f>
        <v>0</v>
      </c>
      <c r="G640" s="27"/>
      <c r="H640" s="90"/>
      <c r="I640" s="27">
        <f t="shared" ref="I640:I642" si="436">J640+K640</f>
        <v>0</v>
      </c>
      <c r="J640" s="27"/>
      <c r="K640" s="27">
        <f t="shared" ref="K640:K642" si="437">ROUND(H640*E640,2)</f>
        <v>0</v>
      </c>
      <c r="L640" s="28" t="s">
        <v>11</v>
      </c>
      <c r="N640" s="4"/>
    </row>
    <row r="641" spans="1:14" ht="25.5" x14ac:dyDescent="0.25">
      <c r="A641" s="23" t="str">
        <f>IF(TRIM(E641)&lt;&gt;"",COUNTA($E$10:E641)&amp;"","")</f>
        <v>618</v>
      </c>
      <c r="B641" s="24" t="s">
        <v>201</v>
      </c>
      <c r="C641" s="25" t="s">
        <v>0</v>
      </c>
      <c r="D641" s="26">
        <v>1</v>
      </c>
      <c r="E641" s="27">
        <v>1</v>
      </c>
      <c r="F641" s="27">
        <f t="shared" si="435"/>
        <v>0</v>
      </c>
      <c r="G641" s="27"/>
      <c r="H641" s="90"/>
      <c r="I641" s="27">
        <f t="shared" si="436"/>
        <v>0</v>
      </c>
      <c r="J641" s="27"/>
      <c r="K641" s="27">
        <f t="shared" si="437"/>
        <v>0</v>
      </c>
      <c r="L641" s="28" t="s">
        <v>11</v>
      </c>
      <c r="N641" s="4"/>
    </row>
    <row r="642" spans="1:14" ht="25.5" x14ac:dyDescent="0.25">
      <c r="A642" s="23" t="str">
        <f>IF(TRIM(E642)&lt;&gt;"",COUNTA($E$10:E642)&amp;"","")</f>
        <v>619</v>
      </c>
      <c r="B642" s="24" t="s">
        <v>221</v>
      </c>
      <c r="C642" s="25" t="s">
        <v>0</v>
      </c>
      <c r="D642" s="26">
        <v>1</v>
      </c>
      <c r="E642" s="27">
        <v>1</v>
      </c>
      <c r="F642" s="27">
        <f t="shared" si="435"/>
        <v>0</v>
      </c>
      <c r="G642" s="27"/>
      <c r="H642" s="90"/>
      <c r="I642" s="27">
        <f t="shared" si="436"/>
        <v>0</v>
      </c>
      <c r="J642" s="27"/>
      <c r="K642" s="27">
        <f t="shared" si="437"/>
        <v>0</v>
      </c>
      <c r="L642" s="28" t="s">
        <v>11</v>
      </c>
      <c r="N642" s="4"/>
    </row>
    <row r="643" spans="1:14" s="5" customFormat="1" x14ac:dyDescent="0.25">
      <c r="A643" s="14" t="str">
        <f>IF(TRIM(E643)&lt;&gt;"",COUNTA($E$10:E643)&amp;"","")</f>
        <v/>
      </c>
      <c r="B643" s="15" t="s">
        <v>126</v>
      </c>
      <c r="C643" s="16"/>
      <c r="D643" s="17"/>
      <c r="E643" s="17"/>
      <c r="F643" s="17"/>
      <c r="G643" s="17"/>
      <c r="H643" s="17"/>
      <c r="I643" s="17"/>
      <c r="J643" s="17"/>
      <c r="K643" s="17"/>
      <c r="L643" s="16"/>
    </row>
    <row r="644" spans="1:14" ht="25.5" x14ac:dyDescent="0.25">
      <c r="A644" s="23" t="str">
        <f>IF(TRIM(E644)&lt;&gt;"",COUNTA($E$10:E644)&amp;"","")</f>
        <v>620</v>
      </c>
      <c r="B644" s="18" t="s">
        <v>127</v>
      </c>
      <c r="C644" s="19" t="s">
        <v>1</v>
      </c>
      <c r="D644" s="20"/>
      <c r="E644" s="21">
        <f>Расчет!E61</f>
        <v>5.7</v>
      </c>
      <c r="F644" s="21">
        <f>G644+H644</f>
        <v>0</v>
      </c>
      <c r="G644" s="89"/>
      <c r="H644" s="21"/>
      <c r="I644" s="21">
        <f>J644+K644</f>
        <v>0</v>
      </c>
      <c r="J644" s="39">
        <f>ROUND(G644*E644,2)</f>
        <v>0</v>
      </c>
      <c r="K644" s="21"/>
      <c r="L644" s="22"/>
      <c r="N644" s="4"/>
    </row>
    <row r="645" spans="1:14" ht="25.5" x14ac:dyDescent="0.25">
      <c r="A645" s="23" t="str">
        <f>IF(TRIM(E645)&lt;&gt;"",COUNTA($E$10:E645)&amp;"","")</f>
        <v>621</v>
      </c>
      <c r="B645" s="24" t="s">
        <v>75</v>
      </c>
      <c r="C645" s="25" t="s">
        <v>20</v>
      </c>
      <c r="D645" s="26">
        <v>0.35</v>
      </c>
      <c r="E645" s="27">
        <f>E644*D645</f>
        <v>1.9949999999999999</v>
      </c>
      <c r="F645" s="27">
        <f t="shared" ref="F645" si="438">G645+H645</f>
        <v>0</v>
      </c>
      <c r="G645" s="27"/>
      <c r="H645" s="90"/>
      <c r="I645" s="27">
        <f t="shared" ref="I645" si="439">J645+K645</f>
        <v>0</v>
      </c>
      <c r="J645" s="27"/>
      <c r="K645" s="27">
        <f>ROUND(H645*E645,2)</f>
        <v>0</v>
      </c>
      <c r="L645" s="28" t="s">
        <v>11</v>
      </c>
      <c r="N645" s="4"/>
    </row>
    <row r="646" spans="1:14" x14ac:dyDescent="0.25">
      <c r="A646" s="23" t="str">
        <f>IF(TRIM(E646)&lt;&gt;"",COUNTA($E$10:E646)&amp;"","")</f>
        <v>622</v>
      </c>
      <c r="B646" s="18" t="s">
        <v>128</v>
      </c>
      <c r="C646" s="19" t="s">
        <v>1</v>
      </c>
      <c r="D646" s="20"/>
      <c r="E646" s="21">
        <f>E644</f>
        <v>5.7</v>
      </c>
      <c r="F646" s="21">
        <f>G646+H646</f>
        <v>0</v>
      </c>
      <c r="G646" s="89"/>
      <c r="H646" s="21"/>
      <c r="I646" s="21">
        <f>J646+K646</f>
        <v>0</v>
      </c>
      <c r="J646" s="39">
        <f>ROUND(G646*E646,2)</f>
        <v>0</v>
      </c>
      <c r="K646" s="21"/>
      <c r="L646" s="22"/>
      <c r="N646" s="4"/>
    </row>
    <row r="647" spans="1:14" ht="25.5" x14ac:dyDescent="0.25">
      <c r="A647" s="23" t="str">
        <f>IF(TRIM(E647)&lt;&gt;"",COUNTA($E$10:E647)&amp;"","")</f>
        <v>623</v>
      </c>
      <c r="B647" s="29" t="s">
        <v>76</v>
      </c>
      <c r="C647" s="25" t="s">
        <v>1</v>
      </c>
      <c r="D647" s="26">
        <v>1.1499999999999999</v>
      </c>
      <c r="E647" s="27">
        <f>E646*D647</f>
        <v>6.5549999999999997</v>
      </c>
      <c r="F647" s="27">
        <f t="shared" ref="F647:F648" si="440">G647+H647</f>
        <v>0</v>
      </c>
      <c r="G647" s="27"/>
      <c r="H647" s="90"/>
      <c r="I647" s="27">
        <f t="shared" ref="I647:I648" si="441">J647+K647</f>
        <v>0</v>
      </c>
      <c r="J647" s="27"/>
      <c r="K647" s="27">
        <f t="shared" ref="K647:K648" si="442">ROUND(H647*E647,2)</f>
        <v>0</v>
      </c>
      <c r="L647" s="30" t="s">
        <v>11</v>
      </c>
      <c r="N647" s="4"/>
    </row>
    <row r="648" spans="1:14" ht="25.5" x14ac:dyDescent="0.25">
      <c r="A648" s="23" t="str">
        <f>IF(TRIM(E648)&lt;&gt;"",COUNTA($E$10:E648)&amp;"","")</f>
        <v>624</v>
      </c>
      <c r="B648" s="31" t="s">
        <v>117</v>
      </c>
      <c r="C648" s="32" t="s">
        <v>3</v>
      </c>
      <c r="D648" s="33">
        <v>0.3</v>
      </c>
      <c r="E648" s="27">
        <f>E646*D648</f>
        <v>1.71</v>
      </c>
      <c r="F648" s="27">
        <f t="shared" si="440"/>
        <v>0</v>
      </c>
      <c r="G648" s="27"/>
      <c r="H648" s="90"/>
      <c r="I648" s="27">
        <f t="shared" si="441"/>
        <v>0</v>
      </c>
      <c r="J648" s="27"/>
      <c r="K648" s="27">
        <f t="shared" si="442"/>
        <v>0</v>
      </c>
      <c r="L648" s="30" t="s">
        <v>11</v>
      </c>
      <c r="N648" s="4"/>
    </row>
    <row r="649" spans="1:14" x14ac:dyDescent="0.25">
      <c r="A649" s="23" t="str">
        <f>IF(TRIM(E649)&lt;&gt;"",COUNTA($E$10:E649)&amp;"","")</f>
        <v>625</v>
      </c>
      <c r="B649" s="18" t="s">
        <v>81</v>
      </c>
      <c r="C649" s="19" t="s">
        <v>1</v>
      </c>
      <c r="D649" s="20"/>
      <c r="E649" s="21">
        <f>E644</f>
        <v>5.7</v>
      </c>
      <c r="F649" s="21">
        <f>G649+H649</f>
        <v>0</v>
      </c>
      <c r="G649" s="89"/>
      <c r="H649" s="21"/>
      <c r="I649" s="21">
        <f>J649+K649</f>
        <v>0</v>
      </c>
      <c r="J649" s="39">
        <f>ROUND(G649*E649,2)</f>
        <v>0</v>
      </c>
      <c r="K649" s="21"/>
      <c r="L649" s="22"/>
      <c r="N649" s="4"/>
    </row>
    <row r="650" spans="1:14" ht="25.5" x14ac:dyDescent="0.25">
      <c r="A650" s="23" t="str">
        <f>IF(TRIM(E650)&lt;&gt;"",COUNTA($E$10:E650)&amp;"","")</f>
        <v>626</v>
      </c>
      <c r="B650" s="29" t="s">
        <v>82</v>
      </c>
      <c r="C650" s="25" t="s">
        <v>22</v>
      </c>
      <c r="D650" s="26">
        <v>1.1000000000000001</v>
      </c>
      <c r="E650" s="27">
        <f>E649*0.03*D650</f>
        <v>0.18809999999999999</v>
      </c>
      <c r="F650" s="27">
        <f t="shared" ref="F650" si="443">G650+H650</f>
        <v>0</v>
      </c>
      <c r="G650" s="27"/>
      <c r="H650" s="90"/>
      <c r="I650" s="27">
        <f t="shared" ref="I650" si="444">J650+K650</f>
        <v>0</v>
      </c>
      <c r="J650" s="27"/>
      <c r="K650" s="27">
        <f>ROUND(H650*E650,2)</f>
        <v>0</v>
      </c>
      <c r="L650" s="30" t="s">
        <v>11</v>
      </c>
      <c r="N650" s="4"/>
    </row>
    <row r="651" spans="1:14" x14ac:dyDescent="0.25">
      <c r="A651" s="23" t="str">
        <f>IF(TRIM(E651)&lt;&gt;"",COUNTA($E$10:E651)&amp;"","")</f>
        <v>627</v>
      </c>
      <c r="B651" s="18" t="s">
        <v>51</v>
      </c>
      <c r="C651" s="19" t="s">
        <v>1</v>
      </c>
      <c r="D651" s="20"/>
      <c r="E651" s="21">
        <f>E649</f>
        <v>5.7</v>
      </c>
      <c r="F651" s="21">
        <f>G651+H651</f>
        <v>0</v>
      </c>
      <c r="G651" s="89"/>
      <c r="H651" s="21"/>
      <c r="I651" s="21">
        <f>J651+K651</f>
        <v>0</v>
      </c>
      <c r="J651" s="39">
        <f>ROUND(G651*E651,2)</f>
        <v>0</v>
      </c>
      <c r="K651" s="21"/>
      <c r="L651" s="22"/>
      <c r="N651" s="4"/>
    </row>
    <row r="652" spans="1:14" ht="25.5" x14ac:dyDescent="0.25">
      <c r="A652" s="23" t="str">
        <f>IF(TRIM(E652)&lt;&gt;"",COUNTA($E$10:E652)&amp;"","")</f>
        <v>628</v>
      </c>
      <c r="B652" s="29" t="s">
        <v>73</v>
      </c>
      <c r="C652" s="25" t="s">
        <v>1</v>
      </c>
      <c r="D652" s="26">
        <v>1.1499999999999999</v>
      </c>
      <c r="E652" s="27">
        <f>E651*D652</f>
        <v>6.5549999999999997</v>
      </c>
      <c r="F652" s="27">
        <f t="shared" ref="F652" si="445">G652+H652</f>
        <v>0</v>
      </c>
      <c r="G652" s="27"/>
      <c r="H652" s="90"/>
      <c r="I652" s="27">
        <f t="shared" ref="I652" si="446">J652+K652</f>
        <v>0</v>
      </c>
      <c r="J652" s="27"/>
      <c r="K652" s="27">
        <f>ROUND(H652*E652,2)</f>
        <v>0</v>
      </c>
      <c r="L652" s="30" t="s">
        <v>11</v>
      </c>
      <c r="N652" s="4"/>
    </row>
    <row r="653" spans="1:14" ht="38.25" x14ac:dyDescent="0.25">
      <c r="A653" s="23" t="str">
        <f>IF(TRIM(E653)&lt;&gt;"",COUNTA($E$10:E653)&amp;"","")</f>
        <v>629</v>
      </c>
      <c r="B653" s="18" t="s">
        <v>83</v>
      </c>
      <c r="C653" s="19" t="s">
        <v>1</v>
      </c>
      <c r="D653" s="20"/>
      <c r="E653" s="21">
        <f>E644</f>
        <v>5.7</v>
      </c>
      <c r="F653" s="21">
        <f>G653+H653</f>
        <v>0</v>
      </c>
      <c r="G653" s="89"/>
      <c r="H653" s="21"/>
      <c r="I653" s="21">
        <f>J653+K653</f>
        <v>0</v>
      </c>
      <c r="J653" s="39">
        <f>ROUND(G653*E653,2)</f>
        <v>0</v>
      </c>
      <c r="K653" s="21"/>
      <c r="L653" s="22"/>
      <c r="M653" s="5"/>
      <c r="N653" s="4"/>
    </row>
    <row r="654" spans="1:14" ht="25.5" x14ac:dyDescent="0.25">
      <c r="A654" s="23" t="str">
        <f>IF(TRIM(E654)&lt;&gt;"",COUNTA($E$10:E654)&amp;"","")</f>
        <v>630</v>
      </c>
      <c r="B654" s="24" t="s">
        <v>21</v>
      </c>
      <c r="C654" s="25" t="s">
        <v>22</v>
      </c>
      <c r="D654" s="34">
        <v>1.0149999999999999</v>
      </c>
      <c r="E654" s="27">
        <f>Расчет!K64*D654</f>
        <v>0.289275</v>
      </c>
      <c r="F654" s="27">
        <f t="shared" ref="F654:F655" si="447">G654+H654</f>
        <v>0</v>
      </c>
      <c r="G654" s="27"/>
      <c r="H654" s="90"/>
      <c r="I654" s="27">
        <f t="shared" ref="I654:I655" si="448">J654+K654</f>
        <v>0</v>
      </c>
      <c r="J654" s="27"/>
      <c r="K654" s="27">
        <f t="shared" ref="K654:K655" si="449">ROUND(H654*E654,2)</f>
        <v>0</v>
      </c>
      <c r="L654" s="30" t="s">
        <v>11</v>
      </c>
      <c r="N654" s="4"/>
    </row>
    <row r="655" spans="1:14" ht="25.5" x14ac:dyDescent="0.25">
      <c r="A655" s="23" t="str">
        <f>IF(TRIM(E655)&lt;&gt;"",COUNTA($E$10:E655)&amp;"","")</f>
        <v>631</v>
      </c>
      <c r="B655" s="24" t="s">
        <v>74</v>
      </c>
      <c r="C655" s="25" t="s">
        <v>1</v>
      </c>
      <c r="D655" s="26">
        <v>1.2</v>
      </c>
      <c r="E655" s="27">
        <f>E653*D655</f>
        <v>6.84</v>
      </c>
      <c r="F655" s="27">
        <f t="shared" si="447"/>
        <v>0</v>
      </c>
      <c r="G655" s="27"/>
      <c r="H655" s="90"/>
      <c r="I655" s="27">
        <f t="shared" si="448"/>
        <v>0</v>
      </c>
      <c r="J655" s="27"/>
      <c r="K655" s="27">
        <f t="shared" si="449"/>
        <v>0</v>
      </c>
      <c r="L655" s="28" t="s">
        <v>11</v>
      </c>
      <c r="N655" s="4"/>
    </row>
    <row r="656" spans="1:14" ht="25.5" x14ac:dyDescent="0.25">
      <c r="A656" s="23" t="str">
        <f>IF(TRIM(E656)&lt;&gt;"",COUNTA($E$10:E656)&amp;"","")</f>
        <v>632</v>
      </c>
      <c r="B656" s="18" t="s">
        <v>127</v>
      </c>
      <c r="C656" s="19" t="s">
        <v>1</v>
      </c>
      <c r="D656" s="20"/>
      <c r="E656" s="21">
        <f>E644</f>
        <v>5.7</v>
      </c>
      <c r="F656" s="21">
        <f>G656+H656</f>
        <v>0</v>
      </c>
      <c r="G656" s="89"/>
      <c r="H656" s="21"/>
      <c r="I656" s="21">
        <f>J656+K656</f>
        <v>0</v>
      </c>
      <c r="J656" s="39">
        <f>ROUND(G656*E656,2)</f>
        <v>0</v>
      </c>
      <c r="K656" s="21"/>
      <c r="L656" s="22"/>
      <c r="N656" s="4"/>
    </row>
    <row r="657" spans="1:14" ht="25.5" x14ac:dyDescent="0.25">
      <c r="A657" s="23" t="str">
        <f>IF(TRIM(E657)&lt;&gt;"",COUNTA($E$10:E657)&amp;"","")</f>
        <v>633</v>
      </c>
      <c r="B657" s="24" t="s">
        <v>75</v>
      </c>
      <c r="C657" s="25" t="s">
        <v>20</v>
      </c>
      <c r="D657" s="26">
        <v>0.35</v>
      </c>
      <c r="E657" s="27">
        <f>E656*D657</f>
        <v>1.9949999999999999</v>
      </c>
      <c r="F657" s="27">
        <f t="shared" ref="F657" si="450">G657+H657</f>
        <v>0</v>
      </c>
      <c r="G657" s="27"/>
      <c r="H657" s="90"/>
      <c r="I657" s="27">
        <f t="shared" ref="I657" si="451">J657+K657</f>
        <v>0</v>
      </c>
      <c r="J657" s="27"/>
      <c r="K657" s="27">
        <f>ROUND(H657*E657,2)</f>
        <v>0</v>
      </c>
      <c r="L657" s="28" t="s">
        <v>11</v>
      </c>
      <c r="N657" s="4"/>
    </row>
    <row r="658" spans="1:14" x14ac:dyDescent="0.25">
      <c r="A658" s="23" t="str">
        <f>IF(TRIM(E658)&lt;&gt;"",COUNTA($E$10:E658)&amp;"","")</f>
        <v>634</v>
      </c>
      <c r="B658" s="18" t="s">
        <v>84</v>
      </c>
      <c r="C658" s="19" t="s">
        <v>1</v>
      </c>
      <c r="D658" s="20"/>
      <c r="E658" s="21">
        <f>E644</f>
        <v>5.7</v>
      </c>
      <c r="F658" s="21">
        <f>G658+H658</f>
        <v>0</v>
      </c>
      <c r="G658" s="89"/>
      <c r="H658" s="21"/>
      <c r="I658" s="21">
        <f>J658+K658</f>
        <v>0</v>
      </c>
      <c r="J658" s="39">
        <f>ROUND(G658*E658,2)</f>
        <v>0</v>
      </c>
      <c r="K658" s="21"/>
      <c r="L658" s="22"/>
      <c r="N658" s="4"/>
    </row>
    <row r="659" spans="1:14" ht="25.5" x14ac:dyDescent="0.25">
      <c r="A659" s="23" t="str">
        <f>IF(TRIM(E659)&lt;&gt;"",COUNTA($E$10:E659)&amp;"","")</f>
        <v>635</v>
      </c>
      <c r="B659" s="24" t="s">
        <v>85</v>
      </c>
      <c r="C659" s="25" t="s">
        <v>20</v>
      </c>
      <c r="D659" s="26">
        <f>0.35*2</f>
        <v>0.7</v>
      </c>
      <c r="E659" s="27">
        <f>E658*D659</f>
        <v>3.9899999999999998</v>
      </c>
      <c r="F659" s="27">
        <f t="shared" ref="F659" si="452">G659+H659</f>
        <v>0</v>
      </c>
      <c r="G659" s="27"/>
      <c r="H659" s="90"/>
      <c r="I659" s="27">
        <f t="shared" ref="I659" si="453">J659+K659</f>
        <v>0</v>
      </c>
      <c r="J659" s="27"/>
      <c r="K659" s="27">
        <f>ROUND(H659*E659,2)</f>
        <v>0</v>
      </c>
      <c r="L659" s="28" t="s">
        <v>11</v>
      </c>
      <c r="N659" s="4"/>
    </row>
    <row r="660" spans="1:14" ht="25.5" x14ac:dyDescent="0.25">
      <c r="A660" s="23" t="str">
        <f>IF(TRIM(E660)&lt;&gt;"",COUNTA($E$10:E660)&amp;"","")</f>
        <v>636</v>
      </c>
      <c r="B660" s="48" t="s">
        <v>129</v>
      </c>
      <c r="C660" s="49" t="s">
        <v>1</v>
      </c>
      <c r="D660" s="50"/>
      <c r="E660" s="21">
        <f>E644</f>
        <v>5.7</v>
      </c>
      <c r="F660" s="21">
        <f>G660+H660</f>
        <v>0</v>
      </c>
      <c r="G660" s="89"/>
      <c r="H660" s="21"/>
      <c r="I660" s="21">
        <f>J660+K660</f>
        <v>0</v>
      </c>
      <c r="J660" s="39">
        <f>ROUND(G660*E660,2)</f>
        <v>0</v>
      </c>
      <c r="K660" s="21"/>
      <c r="L660" s="51"/>
      <c r="N660" s="4"/>
    </row>
    <row r="661" spans="1:14" ht="25.5" x14ac:dyDescent="0.25">
      <c r="A661" s="23" t="str">
        <f>IF(TRIM(E661)&lt;&gt;"",COUNTA($E$10:E661)&amp;"","")</f>
        <v>637</v>
      </c>
      <c r="B661" s="52" t="s">
        <v>86</v>
      </c>
      <c r="C661" s="36" t="s">
        <v>1</v>
      </c>
      <c r="D661" s="53">
        <v>1.03</v>
      </c>
      <c r="E661" s="27">
        <f>E660*D661</f>
        <v>5.8710000000000004</v>
      </c>
      <c r="F661" s="27">
        <f t="shared" ref="F661" si="454">G661+H661</f>
        <v>0</v>
      </c>
      <c r="G661" s="27"/>
      <c r="H661" s="90"/>
      <c r="I661" s="27">
        <f t="shared" ref="I661" si="455">J661+K661</f>
        <v>0</v>
      </c>
      <c r="J661" s="27"/>
      <c r="K661" s="27">
        <f>ROUND(H661*E661,2)</f>
        <v>0</v>
      </c>
      <c r="L661" s="30" t="s">
        <v>11</v>
      </c>
      <c r="N661" s="4"/>
    </row>
    <row r="662" spans="1:14" ht="25.5" x14ac:dyDescent="0.25">
      <c r="A662" s="23" t="str">
        <f>IF(TRIM(E662)&lt;&gt;"",COUNTA($E$10:E662)&amp;"","")</f>
        <v>638</v>
      </c>
      <c r="B662" s="18" t="s">
        <v>130</v>
      </c>
      <c r="C662" s="19" t="s">
        <v>1</v>
      </c>
      <c r="D662" s="20"/>
      <c r="E662" s="21">
        <f>E644</f>
        <v>5.7</v>
      </c>
      <c r="F662" s="21">
        <f>G662+H662</f>
        <v>0</v>
      </c>
      <c r="G662" s="89"/>
      <c r="H662" s="21"/>
      <c r="I662" s="21">
        <f>J662+K662</f>
        <v>0</v>
      </c>
      <c r="J662" s="39">
        <f>ROUND(G662*E662,2)</f>
        <v>0</v>
      </c>
      <c r="K662" s="21"/>
      <c r="L662" s="22"/>
      <c r="M662" s="5"/>
      <c r="N662" s="4"/>
    </row>
    <row r="663" spans="1:14" ht="25.5" x14ac:dyDescent="0.25">
      <c r="A663" s="23" t="str">
        <f>IF(TRIM(E663)&lt;&gt;"",COUNTA($E$10:E663)&amp;"","")</f>
        <v>639</v>
      </c>
      <c r="B663" s="24" t="s">
        <v>87</v>
      </c>
      <c r="C663" s="25" t="s">
        <v>1</v>
      </c>
      <c r="D663" s="26">
        <v>1.02</v>
      </c>
      <c r="E663" s="27">
        <f>E662*D663</f>
        <v>5.8140000000000001</v>
      </c>
      <c r="F663" s="27">
        <f t="shared" ref="F663" si="456">G663+H663</f>
        <v>0</v>
      </c>
      <c r="G663" s="27"/>
      <c r="H663" s="90"/>
      <c r="I663" s="27">
        <f t="shared" ref="I663:I664" si="457">J663+K663</f>
        <v>0</v>
      </c>
      <c r="J663" s="27"/>
      <c r="K663" s="27">
        <f>ROUND(H663*E663,2)</f>
        <v>0</v>
      </c>
      <c r="L663" s="30" t="s">
        <v>11</v>
      </c>
      <c r="N663" s="4"/>
    </row>
    <row r="664" spans="1:14" s="95" customFormat="1" x14ac:dyDescent="0.2">
      <c r="A664" s="133" t="s">
        <v>69</v>
      </c>
      <c r="B664" s="134"/>
      <c r="C664" s="134"/>
      <c r="D664" s="134"/>
      <c r="E664" s="135"/>
      <c r="F664" s="92"/>
      <c r="G664" s="92"/>
      <c r="H664" s="93"/>
      <c r="I664" s="94">
        <f t="shared" si="457"/>
        <v>0</v>
      </c>
      <c r="J664" s="94">
        <f>SUM(J10:J663)</f>
        <v>0</v>
      </c>
      <c r="K664" s="94">
        <f>SUM(K10:K663)</f>
        <v>0</v>
      </c>
      <c r="L664" s="91"/>
    </row>
    <row r="665" spans="1:14" s="95" customFormat="1" x14ac:dyDescent="0.2">
      <c r="A665" s="96"/>
      <c r="B665" s="97" t="s">
        <v>12</v>
      </c>
      <c r="C665" s="98"/>
      <c r="D665" s="99"/>
      <c r="E665" s="100"/>
      <c r="F665" s="101"/>
      <c r="G665" s="102"/>
      <c r="H665" s="102"/>
      <c r="I665" s="101"/>
      <c r="J665" s="102"/>
      <c r="K665" s="102"/>
      <c r="L665" s="103"/>
    </row>
    <row r="666" spans="1:14" s="95" customFormat="1" x14ac:dyDescent="0.2">
      <c r="A666" s="104"/>
      <c r="B666" s="105" t="s">
        <v>131</v>
      </c>
      <c r="C666" s="106"/>
      <c r="D666" s="107"/>
      <c r="E666" s="108"/>
      <c r="F666" s="94"/>
      <c r="G666" s="109"/>
      <c r="H666" s="109"/>
      <c r="I666" s="94"/>
      <c r="J666" s="109"/>
      <c r="K666" s="109"/>
      <c r="L666" s="110"/>
    </row>
    <row r="667" spans="1:14" s="95" customFormat="1" ht="51" x14ac:dyDescent="0.2">
      <c r="A667" s="104"/>
      <c r="B667" s="111" t="s">
        <v>224</v>
      </c>
      <c r="C667" s="106"/>
      <c r="D667" s="107"/>
      <c r="E667" s="112"/>
      <c r="F667" s="94"/>
      <c r="G667" s="109"/>
      <c r="H667" s="109"/>
      <c r="I667" s="94"/>
      <c r="J667" s="109"/>
      <c r="K667" s="109"/>
      <c r="L667" s="110"/>
    </row>
    <row r="668" spans="1:14" s="95" customFormat="1" x14ac:dyDescent="0.2">
      <c r="A668" s="133" t="s">
        <v>225</v>
      </c>
      <c r="B668" s="134"/>
      <c r="C668" s="134"/>
      <c r="D668" s="134"/>
      <c r="E668" s="135"/>
      <c r="F668" s="94"/>
      <c r="G668" s="109"/>
      <c r="H668" s="109"/>
      <c r="I668" s="94">
        <f>J668+K668</f>
        <v>0</v>
      </c>
      <c r="J668" s="94">
        <f>J664</f>
        <v>0</v>
      </c>
      <c r="K668" s="94">
        <f>K664+K666+K667</f>
        <v>0</v>
      </c>
      <c r="L668" s="110"/>
    </row>
    <row r="669" spans="1:14" s="95" customFormat="1" x14ac:dyDescent="0.2">
      <c r="A669" s="133" t="s">
        <v>226</v>
      </c>
      <c r="B669" s="134"/>
      <c r="C669" s="134"/>
      <c r="D669" s="134"/>
      <c r="E669" s="135"/>
      <c r="F669" s="94"/>
      <c r="G669" s="109"/>
      <c r="H669" s="109"/>
      <c r="I669" s="94">
        <f>I670-I668</f>
        <v>0</v>
      </c>
      <c r="J669" s="94"/>
      <c r="K669" s="94"/>
      <c r="L669" s="110"/>
    </row>
    <row r="670" spans="1:14" s="95" customFormat="1" x14ac:dyDescent="0.2">
      <c r="A670" s="133" t="s">
        <v>227</v>
      </c>
      <c r="B670" s="134"/>
      <c r="C670" s="134"/>
      <c r="D670" s="134"/>
      <c r="E670" s="135"/>
      <c r="F670" s="94"/>
      <c r="G670" s="109"/>
      <c r="H670" s="109"/>
      <c r="I670" s="94">
        <f>I668*1.22</f>
        <v>0</v>
      </c>
      <c r="J670" s="109"/>
      <c r="K670" s="109"/>
      <c r="L670" s="110"/>
    </row>
    <row r="671" spans="1:14" s="95" customFormat="1" x14ac:dyDescent="0.2">
      <c r="A671" s="113"/>
      <c r="B671" s="113"/>
      <c r="C671" s="113"/>
      <c r="D671" s="113"/>
      <c r="E671" s="113"/>
      <c r="F671" s="113"/>
      <c r="G671" s="113"/>
      <c r="H671" s="113"/>
      <c r="I671" s="113"/>
      <c r="J671" s="113"/>
      <c r="K671" s="113"/>
      <c r="L671" s="113"/>
    </row>
    <row r="672" spans="1:14" s="95" customFormat="1" x14ac:dyDescent="0.2">
      <c r="A672" s="113"/>
      <c r="B672" s="114" t="s">
        <v>28</v>
      </c>
      <c r="C672" s="113"/>
      <c r="D672" s="113"/>
      <c r="E672" s="113"/>
      <c r="F672" s="113"/>
      <c r="G672" s="113"/>
      <c r="H672" s="113"/>
      <c r="I672" s="113"/>
      <c r="J672" s="113"/>
      <c r="K672" s="113"/>
      <c r="L672" s="113"/>
    </row>
    <row r="673" spans="1:12" s="95" customFormat="1" x14ac:dyDescent="0.2">
      <c r="A673" s="113"/>
      <c r="B673" s="114" t="s">
        <v>29</v>
      </c>
      <c r="C673" s="113"/>
      <c r="D673" s="113"/>
      <c r="E673" s="113"/>
      <c r="F673" s="113"/>
      <c r="G673" s="113"/>
      <c r="H673" s="113"/>
      <c r="I673" s="113"/>
      <c r="J673" s="113"/>
      <c r="K673" s="113"/>
      <c r="L673" s="113"/>
    </row>
    <row r="674" spans="1:12" s="95" customFormat="1" x14ac:dyDescent="0.2">
      <c r="A674" s="113"/>
      <c r="B674" s="113"/>
      <c r="C674" s="113"/>
      <c r="D674" s="113"/>
      <c r="E674" s="113"/>
      <c r="F674" s="113"/>
      <c r="G674" s="113"/>
      <c r="H674" s="113"/>
      <c r="I674" s="113"/>
      <c r="J674" s="113"/>
      <c r="K674" s="113"/>
      <c r="L674" s="113"/>
    </row>
    <row r="675" spans="1:12" s="95" customFormat="1" x14ac:dyDescent="0.2">
      <c r="A675" s="115"/>
      <c r="B675" s="145" t="s">
        <v>228</v>
      </c>
      <c r="C675" s="146"/>
      <c r="D675" s="146"/>
      <c r="E675" s="146"/>
      <c r="F675" s="147"/>
      <c r="G675" s="136" t="s">
        <v>229</v>
      </c>
      <c r="H675" s="137"/>
      <c r="I675" s="137"/>
      <c r="J675" s="137"/>
      <c r="K675" s="138"/>
      <c r="L675" s="113"/>
    </row>
    <row r="676" spans="1:12" s="95" customFormat="1" x14ac:dyDescent="0.2">
      <c r="A676" s="115"/>
      <c r="B676" s="144" t="s">
        <v>230</v>
      </c>
      <c r="C676" s="144"/>
      <c r="D676" s="144"/>
      <c r="E676" s="144"/>
      <c r="F676" s="144"/>
      <c r="G676" s="130" t="s">
        <v>231</v>
      </c>
      <c r="H676" s="131"/>
      <c r="I676" s="131"/>
      <c r="J676" s="131"/>
      <c r="K676" s="132"/>
      <c r="L676" s="116"/>
    </row>
    <row r="677" spans="1:12" s="95" customFormat="1" x14ac:dyDescent="0.2">
      <c r="A677" s="115"/>
      <c r="B677" s="127" t="s">
        <v>232</v>
      </c>
      <c r="C677" s="128"/>
      <c r="D677" s="128"/>
      <c r="E677" s="128"/>
      <c r="F677" s="129"/>
      <c r="G677" s="130" t="s">
        <v>231</v>
      </c>
      <c r="H677" s="131"/>
      <c r="I677" s="131"/>
      <c r="J677" s="131"/>
      <c r="K677" s="132"/>
      <c r="L677" s="117"/>
    </row>
    <row r="678" spans="1:12" s="95" customFormat="1" x14ac:dyDescent="0.2">
      <c r="A678" s="115"/>
      <c r="B678" s="127" t="s">
        <v>233</v>
      </c>
      <c r="C678" s="128"/>
      <c r="D678" s="128"/>
      <c r="E678" s="128"/>
      <c r="F678" s="129"/>
      <c r="G678" s="130" t="s">
        <v>231</v>
      </c>
      <c r="H678" s="131"/>
      <c r="I678" s="131"/>
      <c r="J678" s="131"/>
      <c r="K678" s="132"/>
      <c r="L678" s="116"/>
    </row>
    <row r="679" spans="1:12" s="95" customFormat="1" x14ac:dyDescent="0.2">
      <c r="A679" s="115"/>
      <c r="B679" s="127" t="s">
        <v>13</v>
      </c>
      <c r="C679" s="128"/>
      <c r="D679" s="128"/>
      <c r="E679" s="128"/>
      <c r="F679" s="129"/>
      <c r="G679" s="121" t="s">
        <v>14</v>
      </c>
      <c r="H679" s="122"/>
      <c r="I679" s="122"/>
      <c r="J679" s="122"/>
      <c r="K679" s="123"/>
      <c r="L679" s="116"/>
    </row>
    <row r="680" spans="1:12" s="95" customFormat="1" x14ac:dyDescent="0.2">
      <c r="A680" s="115"/>
      <c r="B680" s="127" t="s">
        <v>234</v>
      </c>
      <c r="C680" s="128"/>
      <c r="D680" s="128"/>
      <c r="E680" s="128"/>
      <c r="F680" s="129"/>
      <c r="G680" s="121" t="s">
        <v>14</v>
      </c>
      <c r="H680" s="122"/>
      <c r="I680" s="122"/>
      <c r="J680" s="122"/>
      <c r="K680" s="123"/>
      <c r="L680" s="116"/>
    </row>
    <row r="681" spans="1:12" s="95" customFormat="1" x14ac:dyDescent="0.2">
      <c r="A681" s="115"/>
      <c r="B681" s="127" t="s">
        <v>15</v>
      </c>
      <c r="C681" s="128"/>
      <c r="D681" s="128"/>
      <c r="E681" s="128"/>
      <c r="F681" s="129"/>
      <c r="G681" s="121" t="s">
        <v>14</v>
      </c>
      <c r="H681" s="122"/>
      <c r="I681" s="122"/>
      <c r="J681" s="122"/>
      <c r="K681" s="123"/>
      <c r="L681" s="116"/>
    </row>
    <row r="682" spans="1:12" s="95" customFormat="1" x14ac:dyDescent="0.2">
      <c r="A682" s="115"/>
      <c r="B682" s="127" t="s">
        <v>16</v>
      </c>
      <c r="C682" s="128"/>
      <c r="D682" s="128"/>
      <c r="E682" s="128"/>
      <c r="F682" s="129"/>
      <c r="G682" s="121" t="s">
        <v>17</v>
      </c>
      <c r="H682" s="122"/>
      <c r="I682" s="122"/>
      <c r="J682" s="122"/>
      <c r="K682" s="123"/>
      <c r="L682" s="116"/>
    </row>
    <row r="683" spans="1:12" s="95" customFormat="1" x14ac:dyDescent="0.2">
      <c r="A683" s="115"/>
      <c r="B683" s="127" t="s">
        <v>18</v>
      </c>
      <c r="C683" s="128"/>
      <c r="D683" s="128"/>
      <c r="E683" s="128"/>
      <c r="F683" s="129"/>
      <c r="G683" s="130" t="s">
        <v>231</v>
      </c>
      <c r="H683" s="131"/>
      <c r="I683" s="131"/>
      <c r="J683" s="131"/>
      <c r="K683" s="132"/>
      <c r="L683" s="116"/>
    </row>
    <row r="684" spans="1:12" s="95" customFormat="1" x14ac:dyDescent="0.2">
      <c r="A684" s="115"/>
      <c r="B684" s="127" t="s">
        <v>235</v>
      </c>
      <c r="C684" s="128"/>
      <c r="D684" s="128"/>
      <c r="E684" s="128"/>
      <c r="F684" s="129"/>
      <c r="G684" s="121" t="s">
        <v>17</v>
      </c>
      <c r="H684" s="122"/>
      <c r="I684" s="122"/>
      <c r="J684" s="122"/>
      <c r="K684" s="123"/>
      <c r="L684" s="116"/>
    </row>
    <row r="685" spans="1:12" s="95" customFormat="1" x14ac:dyDescent="0.2">
      <c r="A685" s="115"/>
      <c r="B685" s="118" t="s">
        <v>236</v>
      </c>
      <c r="C685" s="119"/>
      <c r="D685" s="119"/>
      <c r="E685" s="119"/>
      <c r="F685" s="120"/>
      <c r="G685" s="121" t="s">
        <v>17</v>
      </c>
      <c r="H685" s="122"/>
      <c r="I685" s="122"/>
      <c r="J685" s="122"/>
      <c r="K685" s="123"/>
      <c r="L685" s="116"/>
    </row>
    <row r="686" spans="1:12" s="95" customFormat="1" x14ac:dyDescent="0.2">
      <c r="A686" s="115"/>
      <c r="B686" s="118" t="s">
        <v>237</v>
      </c>
      <c r="C686" s="119"/>
      <c r="D686" s="119"/>
      <c r="E686" s="119"/>
      <c r="F686" s="120"/>
      <c r="G686" s="121" t="s">
        <v>17</v>
      </c>
      <c r="H686" s="122"/>
      <c r="I686" s="122"/>
      <c r="J686" s="122"/>
      <c r="K686" s="123"/>
      <c r="L686" s="116"/>
    </row>
    <row r="687" spans="1:12" s="95" customFormat="1" x14ac:dyDescent="0.2">
      <c r="A687" s="115"/>
      <c r="B687" s="118" t="s">
        <v>238</v>
      </c>
      <c r="C687" s="119"/>
      <c r="D687" s="119"/>
      <c r="E687" s="119"/>
      <c r="F687" s="120"/>
      <c r="G687" s="121" t="s">
        <v>239</v>
      </c>
      <c r="H687" s="122"/>
      <c r="I687" s="122"/>
      <c r="J687" s="122"/>
      <c r="K687" s="123"/>
      <c r="L687" s="116"/>
    </row>
    <row r="688" spans="1:12" s="95" customFormat="1" ht="15.75" customHeight="1" x14ac:dyDescent="0.2">
      <c r="A688" s="115"/>
      <c r="B688" s="118" t="s">
        <v>240</v>
      </c>
      <c r="C688" s="119"/>
      <c r="D688" s="119"/>
      <c r="E688" s="119"/>
      <c r="F688" s="120"/>
      <c r="G688" s="121" t="s">
        <v>17</v>
      </c>
      <c r="H688" s="122"/>
      <c r="I688" s="122"/>
      <c r="J688" s="122"/>
      <c r="K688" s="123"/>
      <c r="L688" s="116"/>
    </row>
    <row r="689" spans="1:12" s="95" customFormat="1" ht="30.75" customHeight="1" x14ac:dyDescent="0.2">
      <c r="A689" s="115"/>
      <c r="B689" s="118" t="s">
        <v>241</v>
      </c>
      <c r="C689" s="119"/>
      <c r="D689" s="119"/>
      <c r="E689" s="119"/>
      <c r="F689" s="120"/>
      <c r="G689" s="124" t="s">
        <v>242</v>
      </c>
      <c r="H689" s="125" t="s">
        <v>243</v>
      </c>
      <c r="I689" s="125"/>
      <c r="J689" s="125"/>
      <c r="K689" s="126"/>
      <c r="L689" s="116"/>
    </row>
    <row r="690" spans="1:12" s="95" customFormat="1" x14ac:dyDescent="0.2">
      <c r="A690" s="115"/>
      <c r="B690" s="118" t="s">
        <v>244</v>
      </c>
      <c r="C690" s="119"/>
      <c r="D690" s="119"/>
      <c r="E690" s="119"/>
      <c r="F690" s="120"/>
      <c r="G690" s="121"/>
      <c r="H690" s="122"/>
      <c r="I690" s="122"/>
      <c r="J690" s="122"/>
      <c r="K690" s="123"/>
      <c r="L690" s="116"/>
    </row>
  </sheetData>
  <autoFilter ref="A7:L672" xr:uid="{66008CA4-A0F2-4BAB-AD12-DC62BA92BF95}"/>
  <mergeCells count="51">
    <mergeCell ref="B679:F679"/>
    <mergeCell ref="B680:F680"/>
    <mergeCell ref="B681:F681"/>
    <mergeCell ref="G677:K677"/>
    <mergeCell ref="G678:K678"/>
    <mergeCell ref="G679:K679"/>
    <mergeCell ref="G680:K680"/>
    <mergeCell ref="G681:K681"/>
    <mergeCell ref="B676:F676"/>
    <mergeCell ref="B675:F675"/>
    <mergeCell ref="G676:K676"/>
    <mergeCell ref="B677:F677"/>
    <mergeCell ref="B678:F678"/>
    <mergeCell ref="A1:L1"/>
    <mergeCell ref="A2:L2"/>
    <mergeCell ref="A3:L3"/>
    <mergeCell ref="A4:A6"/>
    <mergeCell ref="B4:B6"/>
    <mergeCell ref="C4:C6"/>
    <mergeCell ref="D4:D6"/>
    <mergeCell ref="E4:E6"/>
    <mergeCell ref="F4:H4"/>
    <mergeCell ref="I4:K4"/>
    <mergeCell ref="L4:L6"/>
    <mergeCell ref="F5:F6"/>
    <mergeCell ref="G5:H5"/>
    <mergeCell ref="I5:I6"/>
    <mergeCell ref="J5:K5"/>
    <mergeCell ref="A664:E664"/>
    <mergeCell ref="A668:E668"/>
    <mergeCell ref="A669:E669"/>
    <mergeCell ref="A670:E670"/>
    <mergeCell ref="G675:K675"/>
    <mergeCell ref="G682:K682"/>
    <mergeCell ref="B683:F683"/>
    <mergeCell ref="G683:K683"/>
    <mergeCell ref="B684:F684"/>
    <mergeCell ref="G684:K684"/>
    <mergeCell ref="B682:F682"/>
    <mergeCell ref="B685:F685"/>
    <mergeCell ref="G685:K685"/>
    <mergeCell ref="B686:F686"/>
    <mergeCell ref="G686:K686"/>
    <mergeCell ref="B687:F687"/>
    <mergeCell ref="G687:K687"/>
    <mergeCell ref="B688:F688"/>
    <mergeCell ref="G688:K688"/>
    <mergeCell ref="B689:F689"/>
    <mergeCell ref="G689:K689"/>
    <mergeCell ref="B690:F690"/>
    <mergeCell ref="G690:K690"/>
  </mergeCells>
  <phoneticPr fontId="19" type="noConversion"/>
  <pageMargins left="0.17" right="0.17" top="0.37" bottom="0.17" header="0.31496062992125984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D5A4E-5C51-456F-819F-25E7FBB24BF8}">
  <dimension ref="A2:U67"/>
  <sheetViews>
    <sheetView topLeftCell="A34" workbookViewId="0">
      <selection activeCell="L64" sqref="L64"/>
    </sheetView>
  </sheetViews>
  <sheetFormatPr defaultRowHeight="12.75" x14ac:dyDescent="0.2"/>
  <cols>
    <col min="1" max="1" width="15.5703125" style="54" customWidth="1"/>
    <col min="2" max="2" width="12.85546875" style="54" customWidth="1"/>
    <col min="3" max="3" width="18.140625" style="55" customWidth="1"/>
    <col min="4" max="4" width="16" style="55" customWidth="1"/>
    <col min="5" max="6" width="22.85546875" style="54" customWidth="1"/>
    <col min="7" max="7" width="3.7109375" style="54" customWidth="1"/>
    <col min="8" max="8" width="21.85546875" style="54" bestFit="1" customWidth="1"/>
    <col min="9" max="9" width="9.140625" style="54"/>
    <col min="10" max="11" width="9.5703125" style="54" bestFit="1" customWidth="1"/>
    <col min="12" max="15" width="9.140625" style="54"/>
    <col min="16" max="16" width="12.42578125" style="54" customWidth="1"/>
    <col min="17" max="17" width="10.140625" style="54" customWidth="1"/>
    <col min="18" max="16384" width="9.140625" style="54"/>
  </cols>
  <sheetData>
    <row r="2" spans="1:16" x14ac:dyDescent="0.2">
      <c r="A2" s="54" t="s">
        <v>71</v>
      </c>
      <c r="H2" s="54" t="s">
        <v>70</v>
      </c>
      <c r="N2" s="54" t="s">
        <v>140</v>
      </c>
      <c r="O2" s="54" t="s">
        <v>139</v>
      </c>
    </row>
    <row r="3" spans="1:16" ht="25.5" x14ac:dyDescent="0.2">
      <c r="A3" s="148" t="s">
        <v>146</v>
      </c>
      <c r="B3" s="56" t="s">
        <v>67</v>
      </c>
      <c r="C3" s="56" t="s">
        <v>30</v>
      </c>
      <c r="D3" s="57" t="s">
        <v>66</v>
      </c>
      <c r="E3" s="56" t="s">
        <v>31</v>
      </c>
      <c r="F3" s="57" t="s">
        <v>32</v>
      </c>
      <c r="H3" s="58" t="s">
        <v>35</v>
      </c>
      <c r="I3" s="58" t="s">
        <v>36</v>
      </c>
      <c r="J3" s="58" t="s">
        <v>37</v>
      </c>
      <c r="K3" s="58" t="s">
        <v>38</v>
      </c>
      <c r="L3" s="151" t="s">
        <v>43</v>
      </c>
      <c r="N3" s="77" t="s">
        <v>135</v>
      </c>
      <c r="O3" s="77">
        <v>1</v>
      </c>
      <c r="P3" s="78" t="s">
        <v>173</v>
      </c>
    </row>
    <row r="4" spans="1:16" x14ac:dyDescent="0.2">
      <c r="A4" s="149"/>
      <c r="B4" s="56">
        <v>1</v>
      </c>
      <c r="C4" s="60"/>
      <c r="D4" s="61"/>
      <c r="E4" s="62">
        <f>255.51+255.61</f>
        <v>511.12</v>
      </c>
      <c r="F4" s="62">
        <v>131</v>
      </c>
      <c r="H4" s="58" t="s">
        <v>40</v>
      </c>
      <c r="I4" s="58">
        <f>0.05</f>
        <v>0.05</v>
      </c>
      <c r="J4" s="58">
        <f t="shared" ref="J4:K4" si="0">0.05</f>
        <v>0.05</v>
      </c>
      <c r="K4" s="58">
        <f t="shared" si="0"/>
        <v>0.05</v>
      </c>
      <c r="L4" s="152"/>
      <c r="N4" s="77" t="s">
        <v>136</v>
      </c>
      <c r="O4" s="77">
        <v>2</v>
      </c>
      <c r="P4" s="78" t="s">
        <v>173</v>
      </c>
    </row>
    <row r="5" spans="1:16" x14ac:dyDescent="0.2">
      <c r="A5" s="149"/>
      <c r="B5" s="56">
        <v>2</v>
      </c>
      <c r="C5" s="63"/>
      <c r="D5" s="63"/>
      <c r="E5" s="62">
        <f>20.41+20.41</f>
        <v>40.82</v>
      </c>
      <c r="F5" s="62">
        <v>54</v>
      </c>
      <c r="H5" s="58" t="s">
        <v>41</v>
      </c>
      <c r="I5" s="64">
        <f>25.26-25.12</f>
        <v>0.14000000000000057</v>
      </c>
      <c r="J5" s="64">
        <f>27.85-27.8</f>
        <v>5.0000000000000711E-2</v>
      </c>
      <c r="K5" s="64">
        <v>0</v>
      </c>
      <c r="L5" s="152"/>
      <c r="N5" s="77" t="s">
        <v>137</v>
      </c>
      <c r="O5" s="77">
        <v>2</v>
      </c>
      <c r="P5" s="78" t="s">
        <v>174</v>
      </c>
    </row>
    <row r="6" spans="1:16" x14ac:dyDescent="0.2">
      <c r="A6" s="149"/>
      <c r="B6" s="56">
        <v>3</v>
      </c>
      <c r="C6" s="63"/>
      <c r="D6" s="63"/>
      <c r="E6" s="62">
        <f>7.13+7.13</f>
        <v>14.26</v>
      </c>
      <c r="F6" s="62">
        <v>0</v>
      </c>
      <c r="H6" s="58"/>
      <c r="I6" s="64"/>
      <c r="J6" s="64"/>
      <c r="K6" s="64"/>
      <c r="L6" s="152"/>
      <c r="N6" s="77" t="s">
        <v>138</v>
      </c>
      <c r="O6" s="77">
        <v>2</v>
      </c>
      <c r="P6" s="78" t="s">
        <v>175</v>
      </c>
    </row>
    <row r="7" spans="1:16" x14ac:dyDescent="0.2">
      <c r="A7" s="150"/>
      <c r="B7" s="56" t="s">
        <v>68</v>
      </c>
      <c r="C7" s="57"/>
      <c r="D7" s="63"/>
      <c r="E7" s="65"/>
      <c r="F7" s="62">
        <v>68</v>
      </c>
      <c r="H7" s="58" t="s">
        <v>42</v>
      </c>
      <c r="I7" s="60">
        <f>E4</f>
        <v>511.12</v>
      </c>
      <c r="J7" s="60">
        <f>E5</f>
        <v>40.82</v>
      </c>
      <c r="K7" s="60">
        <f>E6</f>
        <v>14.26</v>
      </c>
      <c r="L7" s="153"/>
      <c r="N7" s="77" t="s">
        <v>164</v>
      </c>
      <c r="O7" s="77">
        <v>2</v>
      </c>
      <c r="P7" s="78" t="s">
        <v>176</v>
      </c>
    </row>
    <row r="8" spans="1:16" x14ac:dyDescent="0.2">
      <c r="A8" s="66" t="s">
        <v>69</v>
      </c>
      <c r="B8" s="66"/>
      <c r="C8" s="57"/>
      <c r="D8" s="67"/>
      <c r="E8" s="65"/>
      <c r="F8" s="62">
        <f>SUM(F4:F7)</f>
        <v>253</v>
      </c>
      <c r="H8" s="58"/>
      <c r="I8" s="60"/>
      <c r="J8" s="60"/>
      <c r="K8" s="60"/>
      <c r="L8" s="68"/>
      <c r="N8" s="77" t="s">
        <v>165</v>
      </c>
      <c r="O8" s="77">
        <v>1</v>
      </c>
      <c r="P8" s="78" t="s">
        <v>173</v>
      </c>
    </row>
    <row r="9" spans="1:16" x14ac:dyDescent="0.2">
      <c r="A9" s="70"/>
      <c r="B9" s="56"/>
      <c r="C9" s="71"/>
      <c r="D9" s="67"/>
      <c r="E9" s="72"/>
      <c r="F9" s="72"/>
      <c r="H9" s="58" t="s">
        <v>39</v>
      </c>
      <c r="I9" s="60">
        <f>(I7*I4)+((I7*I5)*2/3)</f>
        <v>73.260533333333527</v>
      </c>
      <c r="J9" s="60">
        <f>(J7*J4)+((J7*J5)*2/3)</f>
        <v>3.4016666666666859</v>
      </c>
      <c r="K9" s="60">
        <f>(K7*K4)+((K7*K5)*2/3)</f>
        <v>0.71300000000000008</v>
      </c>
      <c r="L9" s="73">
        <f>SUM(I9:K9)</f>
        <v>77.375200000000206</v>
      </c>
      <c r="N9" s="77" t="s">
        <v>144</v>
      </c>
      <c r="O9" s="77">
        <v>1</v>
      </c>
      <c r="P9" s="78" t="s">
        <v>173</v>
      </c>
    </row>
    <row r="10" spans="1:16" x14ac:dyDescent="0.2">
      <c r="N10" s="77" t="s">
        <v>145</v>
      </c>
      <c r="O10" s="77">
        <v>1</v>
      </c>
      <c r="P10" s="78" t="s">
        <v>176</v>
      </c>
    </row>
    <row r="11" spans="1:16" x14ac:dyDescent="0.2">
      <c r="N11" s="77" t="s">
        <v>147</v>
      </c>
      <c r="O11" s="77">
        <v>2</v>
      </c>
      <c r="P11" s="78" t="s">
        <v>174</v>
      </c>
    </row>
    <row r="12" spans="1:16" x14ac:dyDescent="0.2">
      <c r="N12" s="69"/>
      <c r="O12" s="69">
        <f>SUM(O3:O11)</f>
        <v>14</v>
      </c>
    </row>
    <row r="14" spans="1:16" x14ac:dyDescent="0.2">
      <c r="A14" s="54" t="s">
        <v>71</v>
      </c>
      <c r="H14" s="54" t="s">
        <v>70</v>
      </c>
      <c r="N14" s="54" t="s">
        <v>140</v>
      </c>
      <c r="O14" s="54" t="s">
        <v>139</v>
      </c>
    </row>
    <row r="15" spans="1:16" ht="25.5" x14ac:dyDescent="0.2">
      <c r="A15" s="148" t="s">
        <v>142</v>
      </c>
      <c r="B15" s="56" t="s">
        <v>67</v>
      </c>
      <c r="C15" s="56" t="s">
        <v>30</v>
      </c>
      <c r="D15" s="57" t="s">
        <v>66</v>
      </c>
      <c r="E15" s="56" t="s">
        <v>31</v>
      </c>
      <c r="F15" s="57" t="s">
        <v>32</v>
      </c>
      <c r="H15" s="58" t="s">
        <v>35</v>
      </c>
      <c r="I15" s="58" t="s">
        <v>36</v>
      </c>
      <c r="J15" s="58" t="s">
        <v>37</v>
      </c>
      <c r="K15" s="58" t="s">
        <v>38</v>
      </c>
      <c r="L15" s="151" t="s">
        <v>43</v>
      </c>
      <c r="N15" s="59" t="s">
        <v>186</v>
      </c>
      <c r="O15" s="59">
        <v>2</v>
      </c>
      <c r="P15" s="78" t="s">
        <v>173</v>
      </c>
    </row>
    <row r="16" spans="1:16" x14ac:dyDescent="0.2">
      <c r="A16" s="149"/>
      <c r="B16" s="56">
        <v>4</v>
      </c>
      <c r="C16" s="60"/>
      <c r="D16" s="61"/>
      <c r="E16" s="62">
        <v>126.93</v>
      </c>
      <c r="F16" s="62">
        <v>46.2</v>
      </c>
      <c r="H16" s="58" t="s">
        <v>40</v>
      </c>
      <c r="I16" s="58">
        <f>0.05</f>
        <v>0.05</v>
      </c>
      <c r="J16" s="58">
        <f t="shared" ref="J16:K16" si="1">0.05</f>
        <v>0.05</v>
      </c>
      <c r="K16" s="58">
        <f t="shared" si="1"/>
        <v>0.05</v>
      </c>
      <c r="L16" s="152"/>
      <c r="N16" s="59" t="s">
        <v>187</v>
      </c>
      <c r="O16" s="59">
        <v>1</v>
      </c>
      <c r="P16" s="78" t="s">
        <v>173</v>
      </c>
    </row>
    <row r="17" spans="1:21" x14ac:dyDescent="0.2">
      <c r="A17" s="149"/>
      <c r="B17" s="56"/>
      <c r="C17" s="63"/>
      <c r="D17" s="63"/>
      <c r="E17" s="62">
        <f>C17-D17</f>
        <v>0</v>
      </c>
      <c r="F17" s="62">
        <v>0</v>
      </c>
      <c r="H17" s="58" t="s">
        <v>41</v>
      </c>
      <c r="I17" s="64">
        <f>4.27-4.17</f>
        <v>9.9999999999999645E-2</v>
      </c>
      <c r="J17" s="64">
        <f>27.85-27.8</f>
        <v>5.0000000000000711E-2</v>
      </c>
      <c r="K17" s="64">
        <v>0</v>
      </c>
      <c r="L17" s="152"/>
      <c r="N17" s="59"/>
      <c r="O17" s="59"/>
    </row>
    <row r="18" spans="1:21" x14ac:dyDescent="0.2">
      <c r="A18" s="149"/>
      <c r="B18" s="56"/>
      <c r="C18" s="63"/>
      <c r="D18" s="63"/>
      <c r="E18" s="62">
        <f>C18-D18</f>
        <v>0</v>
      </c>
      <c r="F18" s="62">
        <v>0</v>
      </c>
      <c r="H18" s="58"/>
      <c r="I18" s="64"/>
      <c r="J18" s="64"/>
      <c r="K18" s="64"/>
      <c r="L18" s="152"/>
      <c r="N18" s="59"/>
      <c r="O18" s="59"/>
    </row>
    <row r="19" spans="1:21" x14ac:dyDescent="0.2">
      <c r="A19" s="150"/>
      <c r="B19" s="56" t="s">
        <v>68</v>
      </c>
      <c r="C19" s="57"/>
      <c r="D19" s="63"/>
      <c r="E19" s="65"/>
      <c r="F19" s="62">
        <v>8.3800000000000008</v>
      </c>
      <c r="H19" s="58" t="s">
        <v>42</v>
      </c>
      <c r="I19" s="60">
        <f>E16</f>
        <v>126.93</v>
      </c>
      <c r="J19" s="60">
        <f>E17</f>
        <v>0</v>
      </c>
      <c r="K19" s="60">
        <f>E18</f>
        <v>0</v>
      </c>
      <c r="L19" s="153"/>
      <c r="N19" s="59"/>
      <c r="O19" s="59"/>
    </row>
    <row r="20" spans="1:21" x14ac:dyDescent="0.2">
      <c r="A20" s="66" t="s">
        <v>69</v>
      </c>
      <c r="B20" s="66"/>
      <c r="C20" s="57"/>
      <c r="D20" s="67"/>
      <c r="E20" s="65"/>
      <c r="F20" s="62">
        <f>SUM(F16:F19)</f>
        <v>54.580000000000005</v>
      </c>
      <c r="H20" s="58"/>
      <c r="I20" s="60"/>
      <c r="J20" s="60"/>
      <c r="K20" s="60"/>
      <c r="L20" s="68"/>
      <c r="N20" s="59"/>
      <c r="O20" s="59"/>
    </row>
    <row r="21" spans="1:21" x14ac:dyDescent="0.2">
      <c r="A21" s="70"/>
      <c r="B21" s="56"/>
      <c r="C21" s="71"/>
      <c r="D21" s="67"/>
      <c r="E21" s="72"/>
      <c r="F21" s="72"/>
      <c r="H21" s="58" t="s">
        <v>39</v>
      </c>
      <c r="I21" s="60">
        <f>(I19*I16)+((I19*I17)*2/3)</f>
        <v>14.80849999999997</v>
      </c>
      <c r="J21" s="60">
        <f>(J19*J16)+((J19*J17)*2/3)</f>
        <v>0</v>
      </c>
      <c r="K21" s="60">
        <f>(K19*K16)+((K19*K17)*2/3)</f>
        <v>0</v>
      </c>
      <c r="L21" s="73">
        <f>SUM(I21:K21)</f>
        <v>14.80849999999997</v>
      </c>
      <c r="N21" s="69"/>
      <c r="O21" s="69">
        <f>SUM(O15:O20)</f>
        <v>3</v>
      </c>
    </row>
    <row r="22" spans="1:21" x14ac:dyDescent="0.2">
      <c r="N22" s="74"/>
      <c r="O22" s="74"/>
    </row>
    <row r="24" spans="1:21" x14ac:dyDescent="0.2">
      <c r="A24" s="54" t="s">
        <v>71</v>
      </c>
      <c r="H24" s="54" t="s">
        <v>70</v>
      </c>
      <c r="N24" s="54" t="s">
        <v>140</v>
      </c>
      <c r="O24" s="54" t="s">
        <v>139</v>
      </c>
    </row>
    <row r="25" spans="1:21" ht="25.5" x14ac:dyDescent="0.2">
      <c r="A25" s="148" t="s">
        <v>150</v>
      </c>
      <c r="B25" s="56" t="s">
        <v>67</v>
      </c>
      <c r="C25" s="56" t="s">
        <v>30</v>
      </c>
      <c r="D25" s="57" t="s">
        <v>66</v>
      </c>
      <c r="E25" s="56" t="s">
        <v>31</v>
      </c>
      <c r="F25" s="57" t="s">
        <v>32</v>
      </c>
      <c r="H25" s="58" t="s">
        <v>35</v>
      </c>
      <c r="I25" s="58" t="s">
        <v>36</v>
      </c>
      <c r="J25" s="58" t="s">
        <v>37</v>
      </c>
      <c r="K25" s="58" t="s">
        <v>38</v>
      </c>
      <c r="L25" s="151" t="s">
        <v>43</v>
      </c>
      <c r="N25" s="59" t="s">
        <v>135</v>
      </c>
      <c r="O25" s="59">
        <v>1</v>
      </c>
      <c r="P25" s="78" t="s">
        <v>173</v>
      </c>
      <c r="Q25" s="54" t="s">
        <v>152</v>
      </c>
      <c r="T25" s="75">
        <v>16.28</v>
      </c>
      <c r="U25" s="54" t="s">
        <v>2</v>
      </c>
    </row>
    <row r="26" spans="1:21" x14ac:dyDescent="0.2">
      <c r="A26" s="149"/>
      <c r="B26" s="56">
        <v>1</v>
      </c>
      <c r="C26" s="60"/>
      <c r="D26" s="61"/>
      <c r="E26" s="62">
        <v>327.08</v>
      </c>
      <c r="F26" s="62">
        <v>100.01</v>
      </c>
      <c r="H26" s="58" t="s">
        <v>40</v>
      </c>
      <c r="I26" s="58">
        <f>0.05</f>
        <v>0.05</v>
      </c>
      <c r="J26" s="58">
        <f t="shared" ref="J26:K26" si="2">0.05</f>
        <v>0.05</v>
      </c>
      <c r="K26" s="58">
        <f t="shared" si="2"/>
        <v>0.05</v>
      </c>
      <c r="L26" s="152"/>
      <c r="N26" s="59" t="s">
        <v>136</v>
      </c>
      <c r="O26" s="59">
        <v>3</v>
      </c>
      <c r="P26" s="78" t="s">
        <v>173</v>
      </c>
    </row>
    <row r="27" spans="1:21" x14ac:dyDescent="0.2">
      <c r="A27" s="149"/>
      <c r="B27" s="56">
        <v>2</v>
      </c>
      <c r="C27" s="63"/>
      <c r="D27" s="63"/>
      <c r="E27" s="62">
        <v>20.41</v>
      </c>
      <c r="F27" s="62">
        <v>26.64</v>
      </c>
      <c r="H27" s="58" t="s">
        <v>41</v>
      </c>
      <c r="I27" s="64">
        <f>25.26-25.12</f>
        <v>0.14000000000000057</v>
      </c>
      <c r="J27" s="64">
        <f>27.85-27.8</f>
        <v>5.0000000000000711E-2</v>
      </c>
      <c r="K27" s="64">
        <v>0</v>
      </c>
      <c r="L27" s="152"/>
      <c r="N27" s="59" t="s">
        <v>190</v>
      </c>
      <c r="O27" s="59">
        <v>1</v>
      </c>
      <c r="P27" s="78" t="s">
        <v>175</v>
      </c>
    </row>
    <row r="28" spans="1:21" x14ac:dyDescent="0.2">
      <c r="A28" s="149"/>
      <c r="B28" s="56">
        <v>3</v>
      </c>
      <c r="C28" s="63"/>
      <c r="D28" s="63"/>
      <c r="E28" s="62">
        <v>6.9</v>
      </c>
      <c r="F28" s="62">
        <v>0</v>
      </c>
      <c r="H28" s="58"/>
      <c r="I28" s="64"/>
      <c r="J28" s="64"/>
      <c r="K28" s="64"/>
      <c r="L28" s="152"/>
      <c r="N28" s="59" t="s">
        <v>166</v>
      </c>
      <c r="O28" s="59">
        <v>1</v>
      </c>
      <c r="P28" s="78" t="s">
        <v>173</v>
      </c>
    </row>
    <row r="29" spans="1:21" x14ac:dyDescent="0.2">
      <c r="A29" s="150"/>
      <c r="B29" s="56" t="s">
        <v>68</v>
      </c>
      <c r="C29" s="57"/>
      <c r="D29" s="63"/>
      <c r="E29" s="65"/>
      <c r="F29" s="62">
        <v>33.49</v>
      </c>
      <c r="H29" s="58" t="s">
        <v>42</v>
      </c>
      <c r="I29" s="60">
        <f>E26</f>
        <v>327.08</v>
      </c>
      <c r="J29" s="60">
        <f>E27</f>
        <v>20.41</v>
      </c>
      <c r="K29" s="60">
        <f>E28</f>
        <v>6.9</v>
      </c>
      <c r="L29" s="153"/>
      <c r="N29" s="59" t="s">
        <v>167</v>
      </c>
      <c r="O29" s="59">
        <v>1</v>
      </c>
      <c r="P29" s="78" t="s">
        <v>176</v>
      </c>
    </row>
    <row r="30" spans="1:21" x14ac:dyDescent="0.2">
      <c r="A30" s="66" t="s">
        <v>69</v>
      </c>
      <c r="B30" s="66"/>
      <c r="C30" s="57"/>
      <c r="D30" s="67"/>
      <c r="E30" s="65"/>
      <c r="F30" s="62">
        <f>SUM(F26:F29)</f>
        <v>160.14000000000001</v>
      </c>
      <c r="H30" s="58"/>
      <c r="I30" s="60"/>
      <c r="J30" s="60"/>
      <c r="K30" s="60"/>
      <c r="L30" s="68"/>
      <c r="N30" s="59" t="s">
        <v>151</v>
      </c>
      <c r="O30" s="59">
        <v>1</v>
      </c>
      <c r="P30" s="78" t="s">
        <v>176</v>
      </c>
    </row>
    <row r="31" spans="1:21" x14ac:dyDescent="0.2">
      <c r="A31" s="70"/>
      <c r="B31" s="56"/>
      <c r="C31" s="71"/>
      <c r="D31" s="67"/>
      <c r="E31" s="72"/>
      <c r="F31" s="72"/>
      <c r="H31" s="58" t="s">
        <v>39</v>
      </c>
      <c r="I31" s="60">
        <f>(I29*I26)+((I29*I27)*2/3)</f>
        <v>46.881466666666782</v>
      </c>
      <c r="J31" s="60">
        <f>(J29*J26)+((J29*J27)*2/3)</f>
        <v>1.700833333333343</v>
      </c>
      <c r="K31" s="60">
        <f>(K29*K26)+((K29*K27)*2/3)</f>
        <v>0.34500000000000003</v>
      </c>
      <c r="L31" s="73">
        <f>SUM(I31:K31)</f>
        <v>48.927300000000123</v>
      </c>
      <c r="N31" s="69"/>
      <c r="O31" s="69">
        <f>SUM(O25:O30)</f>
        <v>8</v>
      </c>
    </row>
    <row r="34" spans="1:21" x14ac:dyDescent="0.2">
      <c r="A34" s="54" t="s">
        <v>71</v>
      </c>
      <c r="H34" s="54" t="s">
        <v>70</v>
      </c>
      <c r="N34" s="54" t="s">
        <v>140</v>
      </c>
      <c r="O34" s="54" t="s">
        <v>139</v>
      </c>
    </row>
    <row r="35" spans="1:21" ht="25.5" x14ac:dyDescent="0.2">
      <c r="A35" s="148" t="s">
        <v>163</v>
      </c>
      <c r="B35" s="56" t="s">
        <v>67</v>
      </c>
      <c r="C35" s="56" t="s">
        <v>30</v>
      </c>
      <c r="D35" s="57" t="s">
        <v>66</v>
      </c>
      <c r="E35" s="56" t="s">
        <v>31</v>
      </c>
      <c r="F35" s="57" t="s">
        <v>32</v>
      </c>
      <c r="H35" s="58" t="s">
        <v>35</v>
      </c>
      <c r="I35" s="58" t="s">
        <v>36</v>
      </c>
      <c r="J35" s="58" t="s">
        <v>37</v>
      </c>
      <c r="K35" s="58" t="s">
        <v>38</v>
      </c>
      <c r="L35" s="151" t="s">
        <v>43</v>
      </c>
      <c r="N35" s="59" t="s">
        <v>135</v>
      </c>
      <c r="O35" s="59">
        <v>1</v>
      </c>
      <c r="P35" s="78" t="s">
        <v>173</v>
      </c>
      <c r="Q35" s="54" t="s">
        <v>152</v>
      </c>
      <c r="T35" s="75">
        <v>16.28</v>
      </c>
      <c r="U35" s="54" t="s">
        <v>2</v>
      </c>
    </row>
    <row r="36" spans="1:21" x14ac:dyDescent="0.2">
      <c r="A36" s="149"/>
      <c r="B36" s="56">
        <v>1</v>
      </c>
      <c r="C36" s="60"/>
      <c r="D36" s="61"/>
      <c r="E36" s="62">
        <v>428.4</v>
      </c>
      <c r="F36" s="62">
        <v>121.39</v>
      </c>
      <c r="H36" s="58" t="s">
        <v>40</v>
      </c>
      <c r="I36" s="58">
        <f>0.05</f>
        <v>0.05</v>
      </c>
      <c r="J36" s="58">
        <f t="shared" ref="J36:K36" si="3">0.05</f>
        <v>0.05</v>
      </c>
      <c r="K36" s="58">
        <f t="shared" si="3"/>
        <v>0.05</v>
      </c>
      <c r="L36" s="152"/>
      <c r="N36" s="59" t="s">
        <v>136</v>
      </c>
      <c r="O36" s="59">
        <v>4</v>
      </c>
      <c r="P36" s="78" t="s">
        <v>173</v>
      </c>
    </row>
    <row r="37" spans="1:21" x14ac:dyDescent="0.2">
      <c r="A37" s="149"/>
      <c r="B37" s="56">
        <v>2</v>
      </c>
      <c r="C37" s="63"/>
      <c r="D37" s="63"/>
      <c r="E37" s="62">
        <v>20.41</v>
      </c>
      <c r="F37" s="62">
        <v>26.85</v>
      </c>
      <c r="H37" s="58" t="s">
        <v>41</v>
      </c>
      <c r="I37" s="64">
        <f>25.26-25.12</f>
        <v>0.14000000000000057</v>
      </c>
      <c r="J37" s="64">
        <f>27.85-27.8</f>
        <v>5.0000000000000711E-2</v>
      </c>
      <c r="K37" s="64">
        <v>0</v>
      </c>
      <c r="L37" s="152"/>
      <c r="N37" s="59" t="s">
        <v>166</v>
      </c>
      <c r="O37" s="59">
        <v>2</v>
      </c>
      <c r="P37" s="78" t="s">
        <v>173</v>
      </c>
    </row>
    <row r="38" spans="1:21" x14ac:dyDescent="0.2">
      <c r="A38" s="149"/>
      <c r="B38" s="56">
        <v>3</v>
      </c>
      <c r="C38" s="63"/>
      <c r="D38" s="63"/>
      <c r="E38" s="62">
        <v>5</v>
      </c>
      <c r="F38" s="62">
        <v>0</v>
      </c>
      <c r="H38" s="58"/>
      <c r="I38" s="64"/>
      <c r="J38" s="64"/>
      <c r="K38" s="64"/>
      <c r="L38" s="152"/>
      <c r="N38" s="59" t="s">
        <v>167</v>
      </c>
      <c r="O38" s="59">
        <v>2</v>
      </c>
      <c r="P38" s="78" t="s">
        <v>176</v>
      </c>
    </row>
    <row r="39" spans="1:21" x14ac:dyDescent="0.2">
      <c r="A39" s="150"/>
      <c r="B39" s="56" t="s">
        <v>68</v>
      </c>
      <c r="C39" s="57"/>
      <c r="D39" s="63"/>
      <c r="E39" s="65"/>
      <c r="F39" s="62">
        <v>48.26</v>
      </c>
      <c r="H39" s="58" t="s">
        <v>42</v>
      </c>
      <c r="I39" s="60">
        <f>E36</f>
        <v>428.4</v>
      </c>
      <c r="J39" s="60">
        <f>E37</f>
        <v>20.41</v>
      </c>
      <c r="K39" s="60">
        <f>E38</f>
        <v>5</v>
      </c>
      <c r="L39" s="153"/>
      <c r="N39" s="59" t="s">
        <v>148</v>
      </c>
      <c r="O39" s="59">
        <v>2</v>
      </c>
      <c r="P39" s="78" t="s">
        <v>174</v>
      </c>
    </row>
    <row r="40" spans="1:21" x14ac:dyDescent="0.2">
      <c r="A40" s="66" t="s">
        <v>69</v>
      </c>
      <c r="B40" s="66"/>
      <c r="C40" s="57"/>
      <c r="D40" s="67"/>
      <c r="E40" s="65"/>
      <c r="F40" s="62">
        <f>SUM(F36:F39)</f>
        <v>196.5</v>
      </c>
      <c r="H40" s="58"/>
      <c r="I40" s="60"/>
      <c r="J40" s="60"/>
      <c r="K40" s="60"/>
      <c r="L40" s="68"/>
      <c r="N40" s="59" t="s">
        <v>195</v>
      </c>
      <c r="O40" s="59">
        <v>2</v>
      </c>
      <c r="P40" s="78" t="s">
        <v>176</v>
      </c>
    </row>
    <row r="41" spans="1:21" x14ac:dyDescent="0.2">
      <c r="A41" s="70"/>
      <c r="B41" s="56"/>
      <c r="C41" s="71"/>
      <c r="D41" s="67"/>
      <c r="E41" s="72"/>
      <c r="F41" s="72"/>
      <c r="H41" s="58" t="s">
        <v>39</v>
      </c>
      <c r="I41" s="60">
        <f>(I39*I36)+((I39*I37)*2/3)</f>
        <v>61.40400000000016</v>
      </c>
      <c r="J41" s="60">
        <f>(J39*J36)+((J39*J37)*2/3)</f>
        <v>1.700833333333343</v>
      </c>
      <c r="K41" s="60">
        <f>(K39*K36)+((K39*K37)*2/3)</f>
        <v>0.25</v>
      </c>
      <c r="L41" s="73">
        <f>SUM(I41:K41)</f>
        <v>63.354833333333502</v>
      </c>
      <c r="N41" s="59"/>
      <c r="O41" s="59"/>
    </row>
    <row r="42" spans="1:21" x14ac:dyDescent="0.2">
      <c r="O42" s="54">
        <f>SUM(O35:O41)</f>
        <v>13</v>
      </c>
    </row>
    <row r="45" spans="1:21" x14ac:dyDescent="0.2">
      <c r="A45" s="54" t="s">
        <v>71</v>
      </c>
      <c r="H45" s="54" t="s">
        <v>70</v>
      </c>
      <c r="N45" s="54" t="s">
        <v>140</v>
      </c>
      <c r="O45" s="54" t="s">
        <v>139</v>
      </c>
    </row>
    <row r="46" spans="1:21" ht="25.5" x14ac:dyDescent="0.2">
      <c r="A46" s="148" t="s">
        <v>169</v>
      </c>
      <c r="B46" s="56" t="s">
        <v>67</v>
      </c>
      <c r="C46" s="56" t="s">
        <v>30</v>
      </c>
      <c r="D46" s="57" t="s">
        <v>66</v>
      </c>
      <c r="E46" s="56" t="s">
        <v>31</v>
      </c>
      <c r="F46" s="57" t="s">
        <v>32</v>
      </c>
      <c r="H46" s="58" t="s">
        <v>35</v>
      </c>
      <c r="I46" s="58" t="s">
        <v>36</v>
      </c>
      <c r="J46" s="58" t="s">
        <v>37</v>
      </c>
      <c r="K46" s="58" t="s">
        <v>38</v>
      </c>
      <c r="L46" s="151" t="s">
        <v>43</v>
      </c>
      <c r="N46" s="59" t="s">
        <v>135</v>
      </c>
      <c r="O46" s="59">
        <v>1</v>
      </c>
      <c r="P46" s="78" t="s">
        <v>173</v>
      </c>
      <c r="Q46" s="54" t="s">
        <v>152</v>
      </c>
      <c r="T46" s="75">
        <v>16.28</v>
      </c>
      <c r="U46" s="54" t="s">
        <v>2</v>
      </c>
    </row>
    <row r="47" spans="1:21" x14ac:dyDescent="0.2">
      <c r="A47" s="149"/>
      <c r="B47" s="56">
        <v>1</v>
      </c>
      <c r="C47" s="60"/>
      <c r="D47" s="61"/>
      <c r="E47" s="62">
        <v>429.6</v>
      </c>
      <c r="F47" s="62">
        <v>119.5</v>
      </c>
      <c r="H47" s="58" t="s">
        <v>40</v>
      </c>
      <c r="I47" s="58">
        <f>0.05</f>
        <v>0.05</v>
      </c>
      <c r="J47" s="58">
        <f t="shared" ref="J47:K47" si="4">0.05</f>
        <v>0.05</v>
      </c>
      <c r="K47" s="58">
        <f t="shared" si="4"/>
        <v>0.05</v>
      </c>
      <c r="L47" s="152"/>
      <c r="N47" s="59" t="s">
        <v>136</v>
      </c>
      <c r="O47" s="59">
        <v>2</v>
      </c>
      <c r="P47" s="78" t="s">
        <v>173</v>
      </c>
    </row>
    <row r="48" spans="1:21" x14ac:dyDescent="0.2">
      <c r="A48" s="149"/>
      <c r="B48" s="56">
        <v>2</v>
      </c>
      <c r="C48" s="63"/>
      <c r="D48" s="63"/>
      <c r="E48" s="62">
        <v>20.41</v>
      </c>
      <c r="F48" s="62">
        <v>26.1</v>
      </c>
      <c r="H48" s="58" t="s">
        <v>41</v>
      </c>
      <c r="I48" s="64">
        <f>25.26-25.12</f>
        <v>0.14000000000000057</v>
      </c>
      <c r="J48" s="64">
        <f>27.85-27.8</f>
        <v>5.0000000000000711E-2</v>
      </c>
      <c r="K48" s="64">
        <v>0</v>
      </c>
      <c r="L48" s="152"/>
      <c r="N48" s="59" t="s">
        <v>199</v>
      </c>
      <c r="O48" s="59">
        <v>1</v>
      </c>
      <c r="P48" s="78" t="s">
        <v>173</v>
      </c>
    </row>
    <row r="49" spans="1:21" x14ac:dyDescent="0.2">
      <c r="A49" s="149"/>
      <c r="B49" s="56">
        <v>3</v>
      </c>
      <c r="C49" s="63"/>
      <c r="D49" s="63"/>
      <c r="E49" s="62">
        <v>4.74</v>
      </c>
      <c r="F49" s="62">
        <v>0</v>
      </c>
      <c r="H49" s="58"/>
      <c r="I49" s="64"/>
      <c r="J49" s="64"/>
      <c r="K49" s="64"/>
      <c r="L49" s="152"/>
      <c r="N49" s="59" t="s">
        <v>166</v>
      </c>
      <c r="O49" s="59">
        <v>2</v>
      </c>
      <c r="P49" s="78" t="s">
        <v>173</v>
      </c>
    </row>
    <row r="50" spans="1:21" x14ac:dyDescent="0.2">
      <c r="A50" s="150"/>
      <c r="B50" s="56" t="s">
        <v>68</v>
      </c>
      <c r="C50" s="57"/>
      <c r="D50" s="63"/>
      <c r="E50" s="65"/>
      <c r="F50" s="62">
        <v>45.18</v>
      </c>
      <c r="H50" s="58" t="s">
        <v>42</v>
      </c>
      <c r="I50" s="60">
        <f>E47</f>
        <v>429.6</v>
      </c>
      <c r="J50" s="60">
        <f>E48</f>
        <v>20.41</v>
      </c>
      <c r="K50" s="60">
        <f>E49</f>
        <v>4.74</v>
      </c>
      <c r="L50" s="153"/>
      <c r="N50" s="59" t="s">
        <v>167</v>
      </c>
      <c r="O50" s="59">
        <v>2</v>
      </c>
      <c r="P50" s="78" t="s">
        <v>176</v>
      </c>
    </row>
    <row r="51" spans="1:21" x14ac:dyDescent="0.2">
      <c r="A51" s="66" t="s">
        <v>69</v>
      </c>
      <c r="B51" s="66"/>
      <c r="C51" s="57"/>
      <c r="D51" s="67"/>
      <c r="E51" s="65"/>
      <c r="F51" s="62">
        <f>SUM(F47:F50)</f>
        <v>190.78</v>
      </c>
      <c r="H51" s="58"/>
      <c r="I51" s="60"/>
      <c r="J51" s="60"/>
      <c r="K51" s="60"/>
      <c r="L51" s="68"/>
      <c r="N51" s="59" t="s">
        <v>148</v>
      </c>
      <c r="O51" s="59">
        <v>1</v>
      </c>
    </row>
    <row r="52" spans="1:21" x14ac:dyDescent="0.2">
      <c r="A52" s="70"/>
      <c r="B52" s="56"/>
      <c r="C52" s="71"/>
      <c r="D52" s="67"/>
      <c r="E52" s="72"/>
      <c r="F52" s="72"/>
      <c r="H52" s="58" t="s">
        <v>39</v>
      </c>
      <c r="I52" s="60">
        <f>(I50*I47)+((I50*I48)*2/3)</f>
        <v>61.576000000000171</v>
      </c>
      <c r="J52" s="60">
        <f>(J50*J47)+((J50*J48)*2/3)</f>
        <v>1.700833333333343</v>
      </c>
      <c r="K52" s="60">
        <f>(K50*K47)+((K50*K48)*2/3)</f>
        <v>0.23700000000000002</v>
      </c>
      <c r="L52" s="73">
        <f>SUM(I52:K52)</f>
        <v>63.513833333333515</v>
      </c>
      <c r="N52" s="59" t="s">
        <v>195</v>
      </c>
      <c r="O52" s="59">
        <v>1</v>
      </c>
      <c r="P52" s="78" t="s">
        <v>176</v>
      </c>
    </row>
    <row r="53" spans="1:21" x14ac:dyDescent="0.2">
      <c r="N53" s="59" t="s">
        <v>198</v>
      </c>
      <c r="O53" s="59">
        <v>1</v>
      </c>
      <c r="P53" s="78" t="s">
        <v>176</v>
      </c>
    </row>
    <row r="54" spans="1:21" x14ac:dyDescent="0.2">
      <c r="N54" s="59"/>
      <c r="O54" s="59"/>
    </row>
    <row r="55" spans="1:21" x14ac:dyDescent="0.2">
      <c r="O55" s="54">
        <f>SUM(O46:O54)</f>
        <v>11</v>
      </c>
    </row>
    <row r="58" spans="1:21" ht="25.5" x14ac:dyDescent="0.2">
      <c r="A58" s="148" t="s">
        <v>203</v>
      </c>
      <c r="B58" s="56" t="s">
        <v>67</v>
      </c>
      <c r="C58" s="56" t="s">
        <v>30</v>
      </c>
      <c r="D58" s="57" t="s">
        <v>66</v>
      </c>
      <c r="E58" s="56" t="s">
        <v>31</v>
      </c>
      <c r="F58" s="57" t="s">
        <v>32</v>
      </c>
      <c r="H58" s="58" t="s">
        <v>35</v>
      </c>
      <c r="I58" s="58" t="s">
        <v>36</v>
      </c>
      <c r="J58" s="58" t="s">
        <v>37</v>
      </c>
      <c r="K58" s="58" t="s">
        <v>38</v>
      </c>
      <c r="L58" s="151" t="s">
        <v>43</v>
      </c>
      <c r="N58" s="59" t="s">
        <v>135</v>
      </c>
      <c r="O58" s="59">
        <v>1</v>
      </c>
      <c r="P58" s="78" t="s">
        <v>173</v>
      </c>
      <c r="Q58" s="88" t="s">
        <v>207</v>
      </c>
      <c r="R58" s="87"/>
      <c r="S58" s="87"/>
      <c r="T58" s="87"/>
      <c r="U58" s="87"/>
    </row>
    <row r="59" spans="1:21" x14ac:dyDescent="0.2">
      <c r="A59" s="149"/>
      <c r="B59" s="56">
        <v>1</v>
      </c>
      <c r="C59" s="60"/>
      <c r="D59" s="61"/>
      <c r="E59" s="62">
        <v>319.60000000000002</v>
      </c>
      <c r="F59" s="62">
        <v>102.03</v>
      </c>
      <c r="H59" s="58" t="s">
        <v>40</v>
      </c>
      <c r="I59" s="58">
        <f>0.05</f>
        <v>0.05</v>
      </c>
      <c r="J59" s="58">
        <f t="shared" ref="J59:K59" si="5">0.05</f>
        <v>0.05</v>
      </c>
      <c r="K59" s="58">
        <f t="shared" si="5"/>
        <v>0.05</v>
      </c>
      <c r="L59" s="152"/>
      <c r="N59" s="59" t="s">
        <v>136</v>
      </c>
      <c r="O59" s="59">
        <v>1</v>
      </c>
      <c r="P59" s="78" t="s">
        <v>173</v>
      </c>
      <c r="Q59" s="78" t="s">
        <v>208</v>
      </c>
    </row>
    <row r="60" spans="1:21" x14ac:dyDescent="0.2">
      <c r="A60" s="149"/>
      <c r="B60" s="56">
        <v>2</v>
      </c>
      <c r="C60" s="63"/>
      <c r="D60" s="63"/>
      <c r="E60" s="62">
        <v>20.2</v>
      </c>
      <c r="F60" s="62">
        <v>26.1</v>
      </c>
      <c r="H60" s="58" t="s">
        <v>41</v>
      </c>
      <c r="I60" s="64">
        <f>25.26-25.12</f>
        <v>0.14000000000000057</v>
      </c>
      <c r="J60" s="64">
        <f>27.85-27.8</f>
        <v>5.0000000000000711E-2</v>
      </c>
      <c r="K60" s="64">
        <v>0</v>
      </c>
      <c r="L60" s="152"/>
      <c r="N60" s="59" t="s">
        <v>145</v>
      </c>
      <c r="O60" s="59">
        <v>1</v>
      </c>
      <c r="P60" s="78" t="s">
        <v>176</v>
      </c>
      <c r="Q60" s="78" t="s">
        <v>209</v>
      </c>
    </row>
    <row r="61" spans="1:21" x14ac:dyDescent="0.2">
      <c r="A61" s="149"/>
      <c r="B61" s="56">
        <v>3</v>
      </c>
      <c r="C61" s="63"/>
      <c r="D61" s="63"/>
      <c r="E61" s="62">
        <v>5.7</v>
      </c>
      <c r="F61" s="62">
        <v>0</v>
      </c>
      <c r="H61" s="58"/>
      <c r="I61" s="64"/>
      <c r="J61" s="64"/>
      <c r="K61" s="64"/>
      <c r="L61" s="152"/>
      <c r="N61" s="59" t="s">
        <v>166</v>
      </c>
      <c r="O61" s="59">
        <v>2</v>
      </c>
      <c r="P61" s="78" t="s">
        <v>173</v>
      </c>
      <c r="Q61" s="78" t="s">
        <v>210</v>
      </c>
    </row>
    <row r="62" spans="1:21" x14ac:dyDescent="0.2">
      <c r="A62" s="150"/>
      <c r="B62" s="56" t="s">
        <v>68</v>
      </c>
      <c r="C62" s="57"/>
      <c r="D62" s="63"/>
      <c r="E62" s="65"/>
      <c r="F62" s="62">
        <v>40.32</v>
      </c>
      <c r="H62" s="58" t="s">
        <v>42</v>
      </c>
      <c r="I62" s="60">
        <f>E59</f>
        <v>319.60000000000002</v>
      </c>
      <c r="J62" s="60">
        <f>E60</f>
        <v>20.2</v>
      </c>
      <c r="K62" s="60">
        <f>E61</f>
        <v>5.7</v>
      </c>
      <c r="L62" s="153"/>
      <c r="N62" s="59" t="s">
        <v>195</v>
      </c>
      <c r="O62" s="59">
        <v>1</v>
      </c>
      <c r="P62" s="78" t="s">
        <v>176</v>
      </c>
      <c r="Q62" s="78" t="s">
        <v>211</v>
      </c>
    </row>
    <row r="63" spans="1:21" x14ac:dyDescent="0.2">
      <c r="A63" s="66" t="s">
        <v>69</v>
      </c>
      <c r="B63" s="66"/>
      <c r="C63" s="57"/>
      <c r="D63" s="67"/>
      <c r="E63" s="65"/>
      <c r="F63" s="62">
        <f>SUM(F59:F62)</f>
        <v>168.45</v>
      </c>
      <c r="H63" s="58"/>
      <c r="I63" s="60"/>
      <c r="J63" s="60"/>
      <c r="K63" s="60"/>
      <c r="L63" s="80"/>
      <c r="N63" s="59" t="s">
        <v>198</v>
      </c>
      <c r="O63" s="59">
        <v>1</v>
      </c>
      <c r="P63" s="78" t="s">
        <v>176</v>
      </c>
      <c r="Q63" s="78" t="s">
        <v>212</v>
      </c>
    </row>
    <row r="64" spans="1:21" x14ac:dyDescent="0.2">
      <c r="A64" s="70"/>
      <c r="B64" s="56"/>
      <c r="C64" s="71"/>
      <c r="D64" s="67"/>
      <c r="E64" s="72"/>
      <c r="F64" s="72"/>
      <c r="H64" s="58" t="s">
        <v>39</v>
      </c>
      <c r="I64" s="60">
        <f>(I62*I59)+((I62*I60)*2/3)</f>
        <v>45.809333333333456</v>
      </c>
      <c r="J64" s="60">
        <f>(J62*J59)+((J62*J60)*2/3)</f>
        <v>1.6833333333333429</v>
      </c>
      <c r="K64" s="60">
        <f>(K62*K59)+((K62*K60)*2/3)</f>
        <v>0.28500000000000003</v>
      </c>
      <c r="L64" s="73">
        <f>SUM(I64:K64)</f>
        <v>47.777666666666796</v>
      </c>
      <c r="N64" s="59" t="s">
        <v>204</v>
      </c>
      <c r="O64" s="59">
        <v>1</v>
      </c>
      <c r="P64" s="78" t="s">
        <v>174</v>
      </c>
      <c r="Q64" s="78" t="s">
        <v>213</v>
      </c>
    </row>
    <row r="65" spans="14:17" x14ac:dyDescent="0.2">
      <c r="N65" s="59" t="s">
        <v>205</v>
      </c>
      <c r="O65" s="59">
        <v>1</v>
      </c>
      <c r="P65" s="78" t="s">
        <v>173</v>
      </c>
      <c r="Q65" s="78" t="s">
        <v>214</v>
      </c>
    </row>
    <row r="66" spans="14:17" x14ac:dyDescent="0.2">
      <c r="N66" s="59" t="s">
        <v>206</v>
      </c>
      <c r="O66" s="59">
        <v>1</v>
      </c>
      <c r="P66" s="78" t="s">
        <v>174</v>
      </c>
      <c r="Q66" s="78" t="s">
        <v>215</v>
      </c>
    </row>
    <row r="67" spans="14:17" x14ac:dyDescent="0.2">
      <c r="O67" s="54">
        <f>SUM(O58:O66)</f>
        <v>10</v>
      </c>
    </row>
  </sheetData>
  <mergeCells count="12">
    <mergeCell ref="A58:A62"/>
    <mergeCell ref="L58:L62"/>
    <mergeCell ref="A46:A50"/>
    <mergeCell ref="L46:L50"/>
    <mergeCell ref="A15:A19"/>
    <mergeCell ref="L15:L19"/>
    <mergeCell ref="A3:A7"/>
    <mergeCell ref="L3:L7"/>
    <mergeCell ref="A25:A29"/>
    <mergeCell ref="L25:L29"/>
    <mergeCell ref="A35:A39"/>
    <mergeCell ref="L35:L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ВОР</vt:lpstr>
      <vt:lpstr>Расчет</vt:lpstr>
      <vt:lpstr>ВОР!Область_печати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2026-06-23T08:15:35Z</dcterms:modified>
</cp:coreProperties>
</file>