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24226"/>
  <xr:revisionPtr revIDLastSave="0" documentId="13_ncr:1_{088A8833-FF64-43D7-9799-829051D4AE73}" xr6:coauthVersionLast="47" xr6:coauthVersionMax="47" xr10:uidLastSave="{00000000-0000-0000-0000-000000000000}"/>
  <bookViews>
    <workbookView xWindow="28680" yWindow="-120" windowWidth="29040" windowHeight="15720" xr2:uid="{ABAB86C9-A1C9-4F57-9A51-5D6506B621B8}"/>
  </bookViews>
  <sheets>
    <sheet name="ВОР" sheetId="4" r:id="rId1"/>
    <sheet name="Расчет" sheetId="5" r:id="rId2"/>
  </sheets>
  <definedNames>
    <definedName name="_xlnm._FilterDatabase" localSheetId="0" hidden="1">ВОР!$A$7:$L$132</definedName>
    <definedName name="_xlnm.Print_Area" localSheetId="0">ВОР!$A$1:$L$142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4" i="4" l="1"/>
  <c r="K128" i="4" s="1"/>
  <c r="J124" i="4"/>
  <c r="F123" i="4"/>
  <c r="F121" i="4"/>
  <c r="F119" i="4"/>
  <c r="F117" i="4"/>
  <c r="F115" i="4"/>
  <c r="K114" i="4"/>
  <c r="I114" i="4" s="1"/>
  <c r="F114" i="4"/>
  <c r="F112" i="4"/>
  <c r="F110" i="4"/>
  <c r="F108" i="4"/>
  <c r="F107" i="4"/>
  <c r="F105" i="4"/>
  <c r="K102" i="4"/>
  <c r="I102" i="4" s="1"/>
  <c r="F102" i="4"/>
  <c r="K100" i="4"/>
  <c r="I100" i="4" s="1"/>
  <c r="F100" i="4"/>
  <c r="K99" i="4"/>
  <c r="I99" i="4" s="1"/>
  <c r="F99" i="4"/>
  <c r="K97" i="4"/>
  <c r="I97" i="4" s="1"/>
  <c r="F97" i="4"/>
  <c r="K96" i="4"/>
  <c r="I96" i="4" s="1"/>
  <c r="F96" i="4"/>
  <c r="K95" i="4"/>
  <c r="I95" i="4" s="1"/>
  <c r="F95" i="4"/>
  <c r="K94" i="4"/>
  <c r="I94" i="4" s="1"/>
  <c r="F94" i="4"/>
  <c r="F92" i="4"/>
  <c r="F91" i="4"/>
  <c r="F89" i="4"/>
  <c r="K88" i="4"/>
  <c r="I88" i="4" s="1"/>
  <c r="F88" i="4"/>
  <c r="K87" i="4"/>
  <c r="I87" i="4" s="1"/>
  <c r="F87" i="4"/>
  <c r="K86" i="4"/>
  <c r="I86" i="4" s="1"/>
  <c r="F86" i="4"/>
  <c r="K85" i="4"/>
  <c r="I85" i="4" s="1"/>
  <c r="F85" i="4"/>
  <c r="K84" i="4"/>
  <c r="I84" i="4" s="1"/>
  <c r="F84" i="4"/>
  <c r="K83" i="4"/>
  <c r="I83" i="4" s="1"/>
  <c r="F83" i="4"/>
  <c r="K82" i="4"/>
  <c r="I82" i="4"/>
  <c r="F82" i="4"/>
  <c r="K81" i="4"/>
  <c r="I81" i="4" s="1"/>
  <c r="F81" i="4"/>
  <c r="F80" i="4"/>
  <c r="F79" i="4"/>
  <c r="F78" i="4"/>
  <c r="F77" i="4"/>
  <c r="F76" i="4"/>
  <c r="F75" i="4"/>
  <c r="F74" i="4"/>
  <c r="F72" i="4"/>
  <c r="F71" i="4"/>
  <c r="F69" i="4"/>
  <c r="F68" i="4"/>
  <c r="F67" i="4"/>
  <c r="F66" i="4"/>
  <c r="F65" i="4"/>
  <c r="F64" i="4"/>
  <c r="F63" i="4"/>
  <c r="F62" i="4"/>
  <c r="F61" i="4"/>
  <c r="F60" i="4"/>
  <c r="F59" i="4"/>
  <c r="F58" i="4"/>
  <c r="F56" i="4"/>
  <c r="F55" i="4"/>
  <c r="F54" i="4"/>
  <c r="F53" i="4"/>
  <c r="F51" i="4"/>
  <c r="F50" i="4"/>
  <c r="F48" i="4"/>
  <c r="F46" i="4"/>
  <c r="F44" i="4"/>
  <c r="F42" i="4"/>
  <c r="F41" i="4"/>
  <c r="F40" i="4"/>
  <c r="F39" i="4"/>
  <c r="F38" i="4"/>
  <c r="F37" i="4"/>
  <c r="F35" i="4"/>
  <c r="F34" i="4"/>
  <c r="F33" i="4"/>
  <c r="F31" i="4"/>
  <c r="F29" i="4"/>
  <c r="F27" i="4"/>
  <c r="F26" i="4"/>
  <c r="F24" i="4"/>
  <c r="F22" i="4"/>
  <c r="F21" i="4"/>
  <c r="F19" i="4"/>
  <c r="F18" i="4"/>
  <c r="F16" i="4"/>
  <c r="F14" i="4"/>
  <c r="F13" i="4"/>
  <c r="F11" i="4"/>
  <c r="F122" i="4"/>
  <c r="F120" i="4"/>
  <c r="F118" i="4"/>
  <c r="F116" i="4"/>
  <c r="F113" i="4"/>
  <c r="F111" i="4"/>
  <c r="F109" i="4"/>
  <c r="F106" i="4"/>
  <c r="J104" i="4"/>
  <c r="I104" i="4" s="1"/>
  <c r="F104" i="4"/>
  <c r="F101" i="4"/>
  <c r="F98" i="4"/>
  <c r="F93" i="4"/>
  <c r="J90" i="4"/>
  <c r="I90" i="4"/>
  <c r="F90" i="4"/>
  <c r="J73" i="4"/>
  <c r="I73" i="4"/>
  <c r="F73" i="4"/>
  <c r="F70" i="4"/>
  <c r="J57" i="4"/>
  <c r="I57" i="4" s="1"/>
  <c r="F57" i="4"/>
  <c r="J52" i="4"/>
  <c r="I52" i="4" s="1"/>
  <c r="F52" i="4"/>
  <c r="J49" i="4"/>
  <c r="I49" i="4" s="1"/>
  <c r="F49" i="4"/>
  <c r="J47" i="4"/>
  <c r="I47" i="4" s="1"/>
  <c r="F47" i="4"/>
  <c r="J45" i="4"/>
  <c r="I45" i="4" s="1"/>
  <c r="F45" i="4"/>
  <c r="J43" i="4"/>
  <c r="I43" i="4" s="1"/>
  <c r="F43" i="4"/>
  <c r="F36" i="4"/>
  <c r="J32" i="4"/>
  <c r="I32" i="4" s="1"/>
  <c r="F32" i="4"/>
  <c r="F30" i="4"/>
  <c r="J28" i="4"/>
  <c r="I28" i="4"/>
  <c r="F28" i="4"/>
  <c r="J25" i="4"/>
  <c r="I25" i="4" s="1"/>
  <c r="F25" i="4"/>
  <c r="F23" i="4"/>
  <c r="F20" i="4"/>
  <c r="F17" i="4"/>
  <c r="J15" i="4"/>
  <c r="I15" i="4" s="1"/>
  <c r="F15" i="4"/>
  <c r="F12" i="4"/>
  <c r="F10" i="4"/>
  <c r="E101" i="4"/>
  <c r="J101" i="4" s="1"/>
  <c r="I101" i="4" s="1"/>
  <c r="E86" i="4"/>
  <c r="E83" i="4"/>
  <c r="E81" i="4"/>
  <c r="E80" i="4"/>
  <c r="K80" i="4" s="1"/>
  <c r="I80" i="4" s="1"/>
  <c r="E79" i="4"/>
  <c r="K79" i="4" s="1"/>
  <c r="I79" i="4" s="1"/>
  <c r="E73" i="4"/>
  <c r="O10" i="5"/>
  <c r="E4" i="5"/>
  <c r="E6" i="5"/>
  <c r="E5" i="5"/>
  <c r="I124" i="4" l="1"/>
  <c r="J128" i="4"/>
  <c r="I128" i="4" s="1"/>
  <c r="I130" i="4" s="1"/>
  <c r="I129" i="4" s="1"/>
  <c r="E98" i="4"/>
  <c r="J98" i="4" s="1"/>
  <c r="I98" i="4" s="1"/>
  <c r="E93" i="4"/>
  <c r="J93" i="4" s="1"/>
  <c r="I93" i="4" s="1"/>
  <c r="A103" i="4"/>
  <c r="E70" i="4" l="1"/>
  <c r="J70" i="4" s="1"/>
  <c r="I70" i="4" s="1"/>
  <c r="E90" i="4"/>
  <c r="E91" i="4" s="1"/>
  <c r="K91" i="4" s="1"/>
  <c r="I91" i="4" s="1"/>
  <c r="E88" i="4"/>
  <c r="E87" i="4"/>
  <c r="E85" i="4"/>
  <c r="E84" i="4"/>
  <c r="E82" i="4"/>
  <c r="E78" i="4"/>
  <c r="K78" i="4" s="1"/>
  <c r="I78" i="4" s="1"/>
  <c r="E77" i="4"/>
  <c r="K77" i="4" s="1"/>
  <c r="I77" i="4" s="1"/>
  <c r="E76" i="4"/>
  <c r="K76" i="4" s="1"/>
  <c r="I76" i="4" s="1"/>
  <c r="E75" i="4"/>
  <c r="K75" i="4" s="1"/>
  <c r="I75" i="4" s="1"/>
  <c r="E72" i="4"/>
  <c r="K72" i="4" s="1"/>
  <c r="I72" i="4" s="1"/>
  <c r="E71" i="4"/>
  <c r="K71" i="4" s="1"/>
  <c r="I71" i="4" s="1"/>
  <c r="E69" i="4"/>
  <c r="K69" i="4" s="1"/>
  <c r="I69" i="4" s="1"/>
  <c r="E67" i="4"/>
  <c r="K67" i="4" s="1"/>
  <c r="I67" i="4" s="1"/>
  <c r="E66" i="4"/>
  <c r="K66" i="4" s="1"/>
  <c r="I66" i="4" s="1"/>
  <c r="E65" i="4"/>
  <c r="K65" i="4" s="1"/>
  <c r="I65" i="4" s="1"/>
  <c r="E64" i="4"/>
  <c r="K64" i="4" s="1"/>
  <c r="I64" i="4" s="1"/>
  <c r="E63" i="4"/>
  <c r="K63" i="4" s="1"/>
  <c r="I63" i="4" s="1"/>
  <c r="E62" i="4"/>
  <c r="K62" i="4" s="1"/>
  <c r="I62" i="4" s="1"/>
  <c r="E60" i="4"/>
  <c r="K60" i="4" s="1"/>
  <c r="I60" i="4" s="1"/>
  <c r="E59" i="4"/>
  <c r="K59" i="4" s="1"/>
  <c r="I59" i="4" s="1"/>
  <c r="E58" i="4"/>
  <c r="K58" i="4" s="1"/>
  <c r="I58" i="4" s="1"/>
  <c r="E68" i="4"/>
  <c r="K68" i="4" s="1"/>
  <c r="I68" i="4" s="1"/>
  <c r="E61" i="4"/>
  <c r="K61" i="4" s="1"/>
  <c r="I61" i="4" s="1"/>
  <c r="D119" i="4"/>
  <c r="E55" i="4"/>
  <c r="K55" i="4" s="1"/>
  <c r="I55" i="4" s="1"/>
  <c r="E47" i="4"/>
  <c r="J5" i="5"/>
  <c r="I5" i="5"/>
  <c r="I4" i="5"/>
  <c r="J4" i="5"/>
  <c r="K4" i="5"/>
  <c r="F8" i="5"/>
  <c r="E28" i="4" s="1"/>
  <c r="I7" i="5"/>
  <c r="E104" i="4"/>
  <c r="J7" i="5"/>
  <c r="K7" i="5" l="1"/>
  <c r="K9" i="5" s="1"/>
  <c r="E114" i="4" s="1"/>
  <c r="E32" i="4"/>
  <c r="E92" i="4"/>
  <c r="K92" i="4" s="1"/>
  <c r="I92" i="4" s="1"/>
  <c r="E113" i="4"/>
  <c r="J113" i="4" s="1"/>
  <c r="I113" i="4" s="1"/>
  <c r="E74" i="4"/>
  <c r="K74" i="4" s="1"/>
  <c r="I74" i="4" s="1"/>
  <c r="E89" i="4"/>
  <c r="K89" i="4" s="1"/>
  <c r="I89" i="4" s="1"/>
  <c r="E10" i="4"/>
  <c r="J10" i="4" s="1"/>
  <c r="I10" i="4" s="1"/>
  <c r="E17" i="4"/>
  <c r="J17" i="4" s="1"/>
  <c r="I17" i="4" s="1"/>
  <c r="E15" i="4"/>
  <c r="E25" i="4"/>
  <c r="E120" i="4"/>
  <c r="J120" i="4" s="1"/>
  <c r="I120" i="4" s="1"/>
  <c r="E122" i="4"/>
  <c r="J122" i="4" s="1"/>
  <c r="I122" i="4" s="1"/>
  <c r="E118" i="4"/>
  <c r="J118" i="4" s="1"/>
  <c r="I118" i="4" s="1"/>
  <c r="E109" i="4"/>
  <c r="J109" i="4" s="1"/>
  <c r="I109" i="4" s="1"/>
  <c r="E106" i="4"/>
  <c r="J106" i="4" s="1"/>
  <c r="I106" i="4" s="1"/>
  <c r="E116" i="4"/>
  <c r="J116" i="4" s="1"/>
  <c r="I116" i="4" s="1"/>
  <c r="E105" i="4"/>
  <c r="K105" i="4" s="1"/>
  <c r="I105" i="4" s="1"/>
  <c r="I9" i="5"/>
  <c r="J9" i="5"/>
  <c r="A10" i="4" l="1"/>
  <c r="E121" i="4"/>
  <c r="K121" i="4" s="1"/>
  <c r="I121" i="4" s="1"/>
  <c r="E119" i="4"/>
  <c r="K119" i="4" s="1"/>
  <c r="I119" i="4" s="1"/>
  <c r="E115" i="4"/>
  <c r="K115" i="4" s="1"/>
  <c r="I115" i="4" s="1"/>
  <c r="E20" i="4"/>
  <c r="J20" i="4" s="1"/>
  <c r="I20" i="4" s="1"/>
  <c r="E19" i="4"/>
  <c r="K19" i="4" s="1"/>
  <c r="I19" i="4" s="1"/>
  <c r="E18" i="4"/>
  <c r="K18" i="4" s="1"/>
  <c r="I18" i="4" s="1"/>
  <c r="E123" i="4"/>
  <c r="K123" i="4" s="1"/>
  <c r="I123" i="4" s="1"/>
  <c r="E111" i="4"/>
  <c r="J111" i="4" s="1"/>
  <c r="I111" i="4" s="1"/>
  <c r="E110" i="4"/>
  <c r="K110" i="4" s="1"/>
  <c r="I110" i="4" s="1"/>
  <c r="E117" i="4"/>
  <c r="K117" i="4" s="1"/>
  <c r="I117" i="4" s="1"/>
  <c r="E108" i="4"/>
  <c r="K108" i="4" s="1"/>
  <c r="I108" i="4" s="1"/>
  <c r="E107" i="4"/>
  <c r="K107" i="4" s="1"/>
  <c r="I107" i="4" s="1"/>
  <c r="L9" i="5"/>
  <c r="E26" i="4" s="1"/>
  <c r="K26" i="4" s="1"/>
  <c r="I26" i="4" s="1"/>
  <c r="E21" i="4" l="1"/>
  <c r="K21" i="4" s="1"/>
  <c r="I21" i="4" s="1"/>
  <c r="E22" i="4"/>
  <c r="K22" i="4" s="1"/>
  <c r="I22" i="4" s="1"/>
  <c r="E112" i="4"/>
  <c r="K112" i="4" s="1"/>
  <c r="I112" i="4" s="1"/>
  <c r="E54" i="4" l="1"/>
  <c r="K54" i="4" s="1"/>
  <c r="I54" i="4" s="1"/>
  <c r="E56" i="4"/>
  <c r="K56" i="4" s="1"/>
  <c r="I56" i="4" s="1"/>
  <c r="E53" i="4"/>
  <c r="K53" i="4" s="1"/>
  <c r="I53" i="4" s="1"/>
  <c r="E51" i="4"/>
  <c r="K51" i="4" s="1"/>
  <c r="I51" i="4" s="1"/>
  <c r="E50" i="4"/>
  <c r="K50" i="4" s="1"/>
  <c r="I50" i="4" s="1"/>
  <c r="E16" i="4" l="1"/>
  <c r="K16" i="4" s="1"/>
  <c r="I16" i="4" s="1"/>
  <c r="E48" i="4" l="1"/>
  <c r="K48" i="4" s="1"/>
  <c r="I48" i="4" s="1"/>
  <c r="E46" i="4"/>
  <c r="K46" i="4" s="1"/>
  <c r="I46" i="4" s="1"/>
  <c r="E44" i="4"/>
  <c r="K44" i="4" s="1"/>
  <c r="I44" i="4" s="1"/>
  <c r="E36" i="4" l="1"/>
  <c r="J36" i="4" s="1"/>
  <c r="I36" i="4" s="1"/>
  <c r="E29" i="4"/>
  <c r="K29" i="4" s="1"/>
  <c r="I29" i="4" s="1"/>
  <c r="E12" i="4"/>
  <c r="J12" i="4" s="1"/>
  <c r="I12" i="4" s="1"/>
  <c r="E11" i="4"/>
  <c r="K11" i="4" s="1"/>
  <c r="I11" i="4" s="1"/>
  <c r="E30" i="4"/>
  <c r="J30" i="4" s="1"/>
  <c r="I30" i="4" s="1"/>
  <c r="E39" i="4" l="1"/>
  <c r="K39" i="4" s="1"/>
  <c r="I39" i="4" s="1"/>
  <c r="E31" i="4"/>
  <c r="K31" i="4" s="1"/>
  <c r="I31" i="4" s="1"/>
  <c r="A11" i="4"/>
  <c r="A12" i="4"/>
  <c r="E40" i="4"/>
  <c r="K40" i="4" s="1"/>
  <c r="I40" i="4" s="1"/>
  <c r="E37" i="4"/>
  <c r="K37" i="4" s="1"/>
  <c r="I37" i="4" s="1"/>
  <c r="E38" i="4"/>
  <c r="K38" i="4" s="1"/>
  <c r="I38" i="4" s="1"/>
  <c r="E42" i="4"/>
  <c r="K42" i="4" s="1"/>
  <c r="I42" i="4" s="1"/>
  <c r="E23" i="4"/>
  <c r="J23" i="4" s="1"/>
  <c r="I23" i="4" s="1"/>
  <c r="E13" i="4"/>
  <c r="K13" i="4" s="1"/>
  <c r="I13" i="4" s="1"/>
  <c r="E14" i="4"/>
  <c r="K14" i="4" s="1"/>
  <c r="I14" i="4" s="1"/>
  <c r="A17" i="4" l="1"/>
  <c r="A21" i="4"/>
  <c r="A20" i="4"/>
  <c r="A18" i="4"/>
  <c r="A16" i="4"/>
  <c r="A15" i="4"/>
  <c r="A22" i="4"/>
  <c r="E24" i="4"/>
  <c r="K24" i="4" s="1"/>
  <c r="I24" i="4" s="1"/>
  <c r="A23" i="4"/>
  <c r="A14" i="4"/>
  <c r="E41" i="4"/>
  <c r="K41" i="4" s="1"/>
  <c r="I41" i="4" s="1"/>
  <c r="A13" i="4"/>
  <c r="A19" i="4"/>
  <c r="E27" i="4"/>
  <c r="K27" i="4" s="1"/>
  <c r="I27" i="4" s="1"/>
  <c r="E34" i="4"/>
  <c r="K34" i="4" s="1"/>
  <c r="I34" i="4" s="1"/>
  <c r="E33" i="4"/>
  <c r="K33" i="4" s="1"/>
  <c r="I33" i="4" s="1"/>
  <c r="E35" i="4"/>
  <c r="K35" i="4" s="1"/>
  <c r="I35" i="4" s="1"/>
  <c r="A102" i="4" l="1"/>
  <c r="A96" i="4"/>
  <c r="A95" i="4"/>
  <c r="A101" i="4"/>
  <c r="A91" i="4"/>
  <c r="A98" i="4"/>
  <c r="A26" i="4"/>
  <c r="A99" i="4"/>
  <c r="A100" i="4"/>
  <c r="A25" i="4"/>
  <c r="A29" i="4"/>
  <c r="A42" i="4"/>
  <c r="A80" i="4"/>
  <c r="A97" i="4"/>
  <c r="A112" i="4"/>
  <c r="A31" i="4"/>
  <c r="A67" i="4"/>
  <c r="A71" i="4"/>
  <c r="A38" i="4"/>
  <c r="A49" i="4"/>
  <c r="A81" i="4"/>
  <c r="A116" i="4"/>
  <c r="A59" i="4"/>
  <c r="A72" i="4"/>
  <c r="A24" i="4"/>
  <c r="A113" i="4"/>
  <c r="A107" i="4"/>
  <c r="A56" i="4"/>
  <c r="A66" i="4"/>
  <c r="A79" i="4"/>
  <c r="A122" i="4"/>
  <c r="A69" i="4"/>
  <c r="A62" i="4"/>
  <c r="A85" i="4"/>
  <c r="A68" i="4"/>
  <c r="A58" i="4"/>
  <c r="A121" i="4"/>
  <c r="A70" i="4"/>
  <c r="A93" i="4"/>
  <c r="A108" i="4"/>
  <c r="A52" i="4"/>
  <c r="A33" i="4"/>
  <c r="A55" i="4"/>
  <c r="A73" i="4"/>
  <c r="A109" i="4"/>
  <c r="A74" i="4"/>
  <c r="A47" i="4"/>
  <c r="A41" i="4"/>
  <c r="A86" i="4"/>
  <c r="A110" i="4"/>
  <c r="A45" i="4"/>
  <c r="A28" i="4"/>
  <c r="A118" i="4"/>
  <c r="A34" i="4"/>
  <c r="A53" i="4"/>
  <c r="A84" i="4"/>
  <c r="A123" i="4"/>
  <c r="A78" i="4"/>
  <c r="A61" i="4"/>
  <c r="A35" i="4"/>
  <c r="A27" i="4"/>
  <c r="A39" i="4"/>
  <c r="A37" i="4"/>
  <c r="A51" i="4"/>
  <c r="A92" i="4"/>
  <c r="A117" i="4"/>
  <c r="A94" i="4"/>
  <c r="A57" i="4"/>
  <c r="A64" i="4"/>
  <c r="A105" i="4"/>
  <c r="A44" i="4"/>
  <c r="A36" i="4"/>
  <c r="A76" i="4"/>
  <c r="A54" i="4"/>
  <c r="A32" i="4"/>
  <c r="A75" i="4"/>
  <c r="A30" i="4"/>
  <c r="A87" i="4"/>
  <c r="A82" i="4"/>
  <c r="A120" i="4"/>
  <c r="A104" i="4"/>
  <c r="A115" i="4"/>
  <c r="A119" i="4"/>
  <c r="A65" i="4"/>
  <c r="A89" i="4"/>
  <c r="A43" i="4"/>
  <c r="A46" i="4"/>
  <c r="A111" i="4"/>
  <c r="A48" i="4"/>
  <c r="A77" i="4"/>
  <c r="A114" i="4"/>
  <c r="A63" i="4"/>
  <c r="A90" i="4"/>
  <c r="A40" i="4"/>
  <c r="A88" i="4"/>
  <c r="A60" i="4"/>
  <c r="A106" i="4"/>
  <c r="A50" i="4"/>
  <c r="A83" i="4"/>
</calcChain>
</file>

<file path=xl/sharedStrings.xml><?xml version="1.0" encoding="utf-8"?>
<sst xmlns="http://schemas.openxmlformats.org/spreadsheetml/2006/main" count="405" uniqueCount="179">
  <si>
    <t>шт</t>
  </si>
  <si>
    <t>м2</t>
  </si>
  <si>
    <t>м</t>
  </si>
  <si>
    <t>кг</t>
  </si>
  <si>
    <t>Норма расхода</t>
  </si>
  <si>
    <t>Объём работ</t>
  </si>
  <si>
    <t>Примечание</t>
  </si>
  <si>
    <t>всего</t>
  </si>
  <si>
    <t>в том числе</t>
  </si>
  <si>
    <t>Работа</t>
  </si>
  <si>
    <t>Материалы</t>
  </si>
  <si>
    <t>Материал подрядчика</t>
  </si>
  <si>
    <t>Расходный материал</t>
  </si>
  <si>
    <t>Срок действия коммерческого предложения не менее 30 календарных дней</t>
  </si>
  <si>
    <t>Указать в календарных днях</t>
  </si>
  <si>
    <t>Срок выполнения монтажных работ</t>
  </si>
  <si>
    <t>Согласие на подписание типовой формы договора заказчика без протокола разногласий</t>
  </si>
  <si>
    <t>Да/Нет</t>
  </si>
  <si>
    <t>Контактные данные Участника (ФИО, номер телефона, адрес электронной почты):</t>
  </si>
  <si>
    <t>на выполнение строительно-монтажных работ по устройству кровли</t>
  </si>
  <si>
    <t>л</t>
  </si>
  <si>
    <t>Раствор цементно-песчаный М150</t>
  </si>
  <si>
    <t>м3</t>
  </si>
  <si>
    <t>м/п</t>
  </si>
  <si>
    <t xml:space="preserve">Устройство галтели из цементно-песчаной стяжки М 150 , 100х100
</t>
  </si>
  <si>
    <t>Распорный дюбель (5 шт/1 м)</t>
  </si>
  <si>
    <t>Установка водоприемных воронок</t>
  </si>
  <si>
    <t>Держатель трубы</t>
  </si>
  <si>
    <t>*Размеры уточнить по месту перед тем, как начать нарезку элементов мерной длины</t>
  </si>
  <si>
    <t>Перед началом производства работ уточнить актуальность рабочей документации</t>
  </si>
  <si>
    <t>Общая площадь кровли, м2</t>
  </si>
  <si>
    <t>Площадь кровли за вычетом ВШ, м2</t>
  </si>
  <si>
    <t>Длина примыканий, м</t>
  </si>
  <si>
    <t>Рейка краевая алюминиевая ТЕХНОНИКОЛЬ 4.8х50</t>
  </si>
  <si>
    <t>Ед. изм.</t>
  </si>
  <si>
    <t>Сегмент №</t>
  </si>
  <si>
    <t>S1</t>
  </si>
  <si>
    <t>S2</t>
  </si>
  <si>
    <t>S3</t>
  </si>
  <si>
    <t>Объем стяжки, м3</t>
  </si>
  <si>
    <t>Толщина t1, м</t>
  </si>
  <si>
    <t>Толщина t2, м</t>
  </si>
  <si>
    <t>Площадь сегмента, м2</t>
  </si>
  <si>
    <t>Общий объем стяжки, м3</t>
  </si>
  <si>
    <t>Установка аэраторов</t>
  </si>
  <si>
    <t>№ п/п</t>
  </si>
  <si>
    <t>Установка парапетных воронок</t>
  </si>
  <si>
    <t>Устройство утепления 100мм</t>
  </si>
  <si>
    <t>Устройство наплавляемой гидроизоляции 2 слоя</t>
  </si>
  <si>
    <t>Полиуретановый герметик 600мл</t>
  </si>
  <si>
    <t>Огрунтовка поверхности ж/б плиты битумным праймером с учётом примыканий на 350мм</t>
  </si>
  <si>
    <t>Устройство слоя пароизоляции</t>
  </si>
  <si>
    <t>Герметизация примыкания к фановым трубам</t>
  </si>
  <si>
    <t>Устройство отлива покрытия</t>
  </si>
  <si>
    <t>Аэратор кровельный 160х450</t>
  </si>
  <si>
    <t>Обжимной хомут из оцинкованной стали /Держатель для трубы D150</t>
  </si>
  <si>
    <t>Монтаж водосточной системы</t>
  </si>
  <si>
    <t>Мастика герметизирующая Технониколь №71 600мл</t>
  </si>
  <si>
    <t>Уголок 63х63х5 L=300мм, ГОСТ 8509-93</t>
  </si>
  <si>
    <t>Круг ø 30 L=730мм, ГОСТ 2590-88</t>
  </si>
  <si>
    <t>Распорный анкер М10</t>
  </si>
  <si>
    <t>Лист t10 150х120мм, ГОСТ 19903-90</t>
  </si>
  <si>
    <t>Уголок 63х63х5 L=730мм, ГОСТ 8509-93</t>
  </si>
  <si>
    <t>Эмаль ПФ-115 (2 слоя)</t>
  </si>
  <si>
    <t>Кровля секция 1, 2</t>
  </si>
  <si>
    <t>Площадь вентшахт, м2</t>
  </si>
  <si>
    <t>Тип кровли</t>
  </si>
  <si>
    <t>вентшахты</t>
  </si>
  <si>
    <t>ИТОГО</t>
  </si>
  <si>
    <t>Стяжка</t>
  </si>
  <si>
    <t>Площади, примыкания</t>
  </si>
  <si>
    <t>Экструзионный пенополистирол 100 мм.</t>
  </si>
  <si>
    <t>Пароизоляционная пленка 200 мкм</t>
  </si>
  <si>
    <t>Сетка 4 Вр1 с ячейкой 200х200</t>
  </si>
  <si>
    <t>Праймер битумный ТЕХНОНИКОЛЬ №1 (или аналог)</t>
  </si>
  <si>
    <t>Наплавляемый материал "Линокром ЭПП" (1 слой) или аналог-4 мм</t>
  </si>
  <si>
    <t>Наплавляемый материал "Унифлекс ВЕНТ" (1 слой) или аналог-4 мм</t>
  </si>
  <si>
    <t>Парапетная воронка D100</t>
  </si>
  <si>
    <t>Водосточная труба D100, L=1900 мм.</t>
  </si>
  <si>
    <t>Угловой отвод</t>
  </si>
  <si>
    <t>Устройство утепления 30 мм</t>
  </si>
  <si>
    <t>Экструзионный пенополистирол 30 мм.</t>
  </si>
  <si>
    <t>Устройство цементно-песчаной стяжки М 150 армированная сеткой 4 Вр1 с ячейкой 
 200х200 - толщ. 50 мм</t>
  </si>
  <si>
    <t>Устройство обмазочной гидроизоляции 2 слоя</t>
  </si>
  <si>
    <t>Мастика кровельная гидроизоляционная</t>
  </si>
  <si>
    <t>Геотекстиль иглопробивной (термофиксированный) ТЕХНОНИКОЛЬ ГЕО 150</t>
  </si>
  <si>
    <t>Бетонная тротуарная плитка марки 6К.5 500х500 толщиной 50 мм</t>
  </si>
  <si>
    <t>Устройство утепления 50мм</t>
  </si>
  <si>
    <t>Утеплитель ТЕХНОФАС ЭКСТРА 50 мм</t>
  </si>
  <si>
    <t>Фасадный крепеж TERMOCLIP</t>
  </si>
  <si>
    <t>Штукатурка стен ЦПС М150 по сетке</t>
  </si>
  <si>
    <t>Сетка 5 Вр1 с ячейкой 100х100</t>
  </si>
  <si>
    <t>Уголок 63х63х5 L=2863мм, ГОСТ 8509-93</t>
  </si>
  <si>
    <t>Уголок 63х63х5 L=343мм, ГОСТ 8509-93</t>
  </si>
  <si>
    <t>Уголок 63х63х5 L=480мм, ГОСТ 8509-93</t>
  </si>
  <si>
    <t>Лист t5 (рифленный) 1190х730мм, ГОСТ 8568-77</t>
  </si>
  <si>
    <t>Уголок 63х63х5 L=1190мм, ГОСТ 8509-93</t>
  </si>
  <si>
    <t>Уголок 63х63х5 L=290мм, ГОСТ 8509-93</t>
  </si>
  <si>
    <t>Фартук из оцинкованной кровельной стали ГОСТ 14918-2020, L=650 мм s=0,5 (ОП-1)</t>
  </si>
  <si>
    <t>Фартук из оцинкованной кровельной стали ГОСТ 14918-2020, L=750 мм s=0,5 (ОП-2)</t>
  </si>
  <si>
    <t>Фартук из оцинкованной кровельной стали ГОСТ 14918-2020, L=790 мм s=0,5 (ОП-3)</t>
  </si>
  <si>
    <t>Фартук из оцинкованной кровельной стали ГОСТ 14918-2020, L=830 мм s=0,5 (ОП-4)</t>
  </si>
  <si>
    <t>Фартук из оцинкованной кровельной стали ГОСТ 14918-2020, L=330 мм s=0,5 (ОП-5)</t>
  </si>
  <si>
    <t>Фартук из оцинкованной кровельной стали ГОСТ 14918-2020, L=460 мм s=0,5 (ОП-6)</t>
  </si>
  <si>
    <t>Кровельный костыль КК-1 Полоса 40х4 L=700 мм</t>
  </si>
  <si>
    <t>Кровельный костыль КК-2 Полоса 40х4 L=800 мм</t>
  </si>
  <si>
    <t>Кровельный костыль КК-3 Полоса 40х4 L=840 мм</t>
  </si>
  <si>
    <t>Кровельный костыль КК-4 Полоса 40х4 L=880 мм</t>
  </si>
  <si>
    <t>Кровельный костыль КК-5 Полоса 40х4 L=290 мм</t>
  </si>
  <si>
    <t>Кровельный костыль КК-6 Полоса 40х4 L=420 мм</t>
  </si>
  <si>
    <t>Фартук из оцинкованной кровельной стали ГОСТ 14918-2020, L=300 мм s=0,5 (ФК-1)</t>
  </si>
  <si>
    <t>Отлив из оцинкованной кровельной стали ГОСТ 14918-2020, L=760 мм s=0,5 (ФО-1)</t>
  </si>
  <si>
    <t>Окраска металлоконструкций в 2 слоя по грунтовке</t>
  </si>
  <si>
    <t>Раздел 1. Основная кровля (Тип 1, 2)</t>
  </si>
  <si>
    <t>Укладка пароизоляции с учётом примыканий на 350мм</t>
  </si>
  <si>
    <t>Пропан</t>
  </si>
  <si>
    <t>Наплавляемый материал "Унифлекс ЭКП" или аналог - 4 мм</t>
  </si>
  <si>
    <t>Устройство примыканий наплавляемой гидроизоляции в 2 слоя</t>
  </si>
  <si>
    <t>Кровельная воронка с подогревом ТехноНИКОЛЬ Стандарт с прижимным фланцем 110х590мм или аналог</t>
  </si>
  <si>
    <t>Сливное колено D100 (60˚)</t>
  </si>
  <si>
    <t>Труба ø 40 L=2480мм, ГОСТ 8732-78</t>
  </si>
  <si>
    <t>Устройство фартуков парапета</t>
  </si>
  <si>
    <t>Комплекс работ по устройству кровельных зонтов из оцинкованной стали с полимерным покрытием и сеткой от птиц (длина одной из сторон до 1600 мм)</t>
  </si>
  <si>
    <t>Раздел 2. Кровля (Тип 3)</t>
  </si>
  <si>
    <t>Огрунтовка поверхности ж/б плиты битумным праймером</t>
  </si>
  <si>
    <t>Укладка пароизоляции</t>
  </si>
  <si>
    <t>Укладка геотекстиля для защитного покрытия кровли</t>
  </si>
  <si>
    <t>Устройство защитного покрытия кровли из плит тротуарных</t>
  </si>
  <si>
    <t>Расходный и крепежный материал.</t>
  </si>
  <si>
    <t>ВЕДОМОСТЬ ОБЪЕМОВ РАБОТ</t>
  </si>
  <si>
    <t>Наименование работ</t>
  </si>
  <si>
    <t>Устройство цементно-песчаной стяжки М 150 армированная сеткой 4 Вр1 с ячейкой 200х200 - толщ. от 50 мм до 100 мм, по уклону</t>
  </si>
  <si>
    <t>Зонт -1</t>
  </si>
  <si>
    <t>Зонт -2</t>
  </si>
  <si>
    <t>Кол-во</t>
  </si>
  <si>
    <t>Зонты</t>
  </si>
  <si>
    <t>Комплекс работ по устройству кровельных зонтов из оцинкованной стали с полимерным покрытием и сеткой от птиц (длина одной из сторон до 2200 мм)</t>
  </si>
  <si>
    <t>Кровля секция 1,2</t>
  </si>
  <si>
    <t>Зонт -12</t>
  </si>
  <si>
    <t>Зонт -13</t>
  </si>
  <si>
    <t>Комплекс работ по устройству кровельных зонтов из оцинкованной стали с полимерным покрытием и сеткой от птиц (длина одной из сторон свыше 2400 мм)</t>
  </si>
  <si>
    <t>Зонт -10</t>
  </si>
  <si>
    <t>Зонт -11</t>
  </si>
  <si>
    <t>Грунтовка ПФ-020 (2 слоя)</t>
  </si>
  <si>
    <t xml:space="preserve">Изготовление и монтаж тремянки ЛМ-1 </t>
  </si>
  <si>
    <t>на объекте: "Многоквартирный жилой комплекс по адресу: Краснодарский край, р-н Динской, п. Южный. 2 очередь". Литер 9</t>
  </si>
  <si>
    <t>Зонт -ЗУ1</t>
  </si>
  <si>
    <t>Кровельный костыль КК-7 Полоса 40х4 L=470 мм</t>
  </si>
  <si>
    <t>Зонт кровельный (Зонт-1) 1080х710 мм</t>
  </si>
  <si>
    <t>Зонт кровельный (Зонт-2) 1330х710 мм</t>
  </si>
  <si>
    <t>*</t>
  </si>
  <si>
    <t>Зонт кровельный (Зонт-10) 1790х710 мм</t>
  </si>
  <si>
    <t>Зонт кровельный (Зонт-11) 2080х890 мм</t>
  </si>
  <si>
    <t>Зонт кровельный (Зонт-12) 2560х710 мм</t>
  </si>
  <si>
    <t>Зонт кровельный (Зонт-13) 990х590 мм</t>
  </si>
  <si>
    <t>Зонт кровельный (Зонт-ЗУ1) 990х590 мм</t>
  </si>
  <si>
    <t>Цена за ед. изм., руб. без НДС</t>
  </si>
  <si>
    <t>Стоимость, руб. без НДС</t>
  </si>
  <si>
    <t xml:space="preserve">Материал не указанный в спецификации, но необходимый для качественного выполнения работ и СМР неучтенные в ведомости объемов работ (ВОР). </t>
  </si>
  <si>
    <t>ИТОГО, руб. без НДС</t>
  </si>
  <si>
    <t>НДС, 22%</t>
  </si>
  <si>
    <t>ИТОГО, руб с НДС</t>
  </si>
  <si>
    <t>Обязательная поля для заполнения участников:</t>
  </si>
  <si>
    <t>Форма ответа Подрядчика/Поставщика</t>
  </si>
  <si>
    <t>Наименование организации, ИНН</t>
  </si>
  <si>
    <t>Указать в текстовом виде</t>
  </si>
  <si>
    <t>Начало работ на объекте (по ТЗ согласно ГПР):</t>
  </si>
  <si>
    <t>Окончание работ (по ТЗ согласно ГПР):</t>
  </si>
  <si>
    <t>Срок поставки в календарных днях</t>
  </si>
  <si>
    <t>Условия оплаты: поэтапно 100% постоплата, отсрочка платежа 30 календарных дней</t>
  </si>
  <si>
    <t>Гарантийные обязательства на материалы/работы/услуги не менее 60 месяцев</t>
  </si>
  <si>
    <t>Доставка силами и за счет поставщика включена в общую стоимость</t>
  </si>
  <si>
    <t>Указать систему налогообложения</t>
  </si>
  <si>
    <t>ОСН/УСН</t>
  </si>
  <si>
    <t>Наличие СРО на Строительно-монтажные работы</t>
  </si>
  <si>
    <t>Приложить Референс-лист</t>
  </si>
  <si>
    <t>Приложить текстовый файл в свободной форме, должен содержать инфо с опытом работы в каких годах какие работы выполняли, в каких объемах, у каких застройщиков работали.</t>
  </si>
  <si>
    <t>файл</t>
  </si>
  <si>
    <t>Комментарий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</si>
</sst>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&quot;-&quot;??_р_._-;_-@_-"/>
    <numFmt numFmtId="166" formatCode="0.000"/>
    <numFmt numFmtId="167" formatCode="#,##0.0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name val="Arial Cyr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  <charset val="204"/>
    </font>
    <font>
      <sz val="10"/>
      <color rgb="FF000000"/>
      <name val="Arial Cyr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1"/>
      <color rgb="FF9C6500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color rgb="FF006100"/>
      <name val="Calibri"/>
      <family val="2"/>
      <charset val="204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E7E6E6"/>
      </patternFill>
    </fill>
    <fill>
      <patternFill patternType="solid">
        <fgColor rgb="FFFFEB9C"/>
        <bgColor rgb="FFFFFFD7"/>
      </patternFill>
    </fill>
    <fill>
      <patternFill patternType="solid">
        <fgColor rgb="FFFFC7CE"/>
        <bgColor rgb="FFD9D9D9"/>
      </patternFill>
    </fill>
    <fill>
      <patternFill patternType="solid">
        <fgColor rgb="FFC6EFCE"/>
        <bgColor rgb="FFD9D9D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FFEB9C"/>
        <b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CC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rgb="FFF2F2F2"/>
      </patternFill>
    </fill>
    <fill>
      <patternFill patternType="solid">
        <fgColor theme="0"/>
        <bgColor indexed="26"/>
      </patternFill>
    </fill>
    <fill>
      <patternFill patternType="solid">
        <fgColor theme="4" tint="0.79998168889431442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/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0">
    <xf numFmtId="0" fontId="0" fillId="0" borderId="0"/>
    <xf numFmtId="0" fontId="3" fillId="0" borderId="0" applyProtection="0"/>
    <xf numFmtId="0" fontId="4" fillId="0" borderId="1">
      <alignment horizontal="center"/>
    </xf>
    <xf numFmtId="0" fontId="3" fillId="0" borderId="0">
      <alignment vertical="top"/>
    </xf>
    <xf numFmtId="0" fontId="4" fillId="0" borderId="1">
      <alignment horizontal="center"/>
    </xf>
    <xf numFmtId="0" fontId="4" fillId="0" borderId="0">
      <alignment vertical="top"/>
    </xf>
    <xf numFmtId="0" fontId="4" fillId="0" borderId="0">
      <alignment horizontal="right" vertical="top" wrapText="1"/>
    </xf>
    <xf numFmtId="0" fontId="4" fillId="0" borderId="0"/>
    <xf numFmtId="0" fontId="4" fillId="0" borderId="0"/>
    <xf numFmtId="0" fontId="4" fillId="0" borderId="0"/>
    <xf numFmtId="2" fontId="5" fillId="0" borderId="0">
      <alignment horizontal="right" vertical="top"/>
    </xf>
    <xf numFmtId="0" fontId="4" fillId="0" borderId="0"/>
    <xf numFmtId="0" fontId="4" fillId="0" borderId="1" applyFill="0" applyProtection="0">
      <alignment horizontal="center"/>
    </xf>
    <xf numFmtId="0" fontId="4" fillId="0" borderId="1" applyFill="0" applyProtection="0">
      <alignment horizontal="center"/>
    </xf>
    <xf numFmtId="0" fontId="3" fillId="0" borderId="0">
      <alignment vertical="top"/>
    </xf>
    <xf numFmtId="0" fontId="4" fillId="0" borderId="0"/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left" vertical="top"/>
    </xf>
    <xf numFmtId="0" fontId="4" fillId="0" borderId="0"/>
    <xf numFmtId="0" fontId="3" fillId="0" borderId="0"/>
    <xf numFmtId="0" fontId="6" fillId="0" borderId="0"/>
    <xf numFmtId="0" fontId="8" fillId="0" borderId="0"/>
    <xf numFmtId="164" fontId="3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/>
    <xf numFmtId="0" fontId="12" fillId="0" borderId="0"/>
    <xf numFmtId="0" fontId="3" fillId="0" borderId="0"/>
    <xf numFmtId="165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7" fillId="0" borderId="0"/>
    <xf numFmtId="0" fontId="13" fillId="0" borderId="0"/>
    <xf numFmtId="0" fontId="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5" fillId="3" borderId="2" applyProtection="0"/>
    <xf numFmtId="0" fontId="16" fillId="4" borderId="0" applyBorder="0" applyProtection="0"/>
    <xf numFmtId="0" fontId="17" fillId="5" borderId="0" applyBorder="0" applyProtection="0"/>
    <xf numFmtId="0" fontId="18" fillId="6" borderId="0" applyBorder="0" applyProtection="0"/>
    <xf numFmtId="0" fontId="7" fillId="0" borderId="0"/>
    <xf numFmtId="0" fontId="4" fillId="0" borderId="4">
      <alignment horizontal="center"/>
    </xf>
    <xf numFmtId="0" fontId="4" fillId="0" borderId="4">
      <alignment horizontal="center"/>
    </xf>
    <xf numFmtId="0" fontId="4" fillId="0" borderId="4" applyFill="0" applyProtection="0">
      <alignment horizontal="center"/>
    </xf>
    <xf numFmtId="0" fontId="4" fillId="0" borderId="4" applyFill="0" applyProtection="0">
      <alignment horizontal="center"/>
    </xf>
    <xf numFmtId="0" fontId="4" fillId="0" borderId="4">
      <alignment horizontal="center" wrapText="1"/>
    </xf>
    <xf numFmtId="0" fontId="4" fillId="0" borderId="4">
      <alignment horizontal="center"/>
    </xf>
    <xf numFmtId="0" fontId="4" fillId="0" borderId="4">
      <alignment horizontal="center" wrapText="1"/>
    </xf>
    <xf numFmtId="0" fontId="4" fillId="0" borderId="4">
      <alignment horizontal="center"/>
    </xf>
    <xf numFmtId="0" fontId="2" fillId="0" borderId="0"/>
    <xf numFmtId="165" fontId="2" fillId="0" borderId="0" applyFont="0" applyFill="0" applyBorder="0" applyAlignment="0" applyProtection="0"/>
    <xf numFmtId="0" fontId="15" fillId="12" borderId="2" applyProtection="0"/>
    <xf numFmtId="0" fontId="16" fillId="13" borderId="0" applyBorder="0" applyProtection="0"/>
    <xf numFmtId="0" fontId="16" fillId="4" borderId="0" applyBorder="0" applyProtection="0"/>
    <xf numFmtId="0" fontId="16" fillId="13" borderId="0" applyBorder="0" applyProtection="0"/>
    <xf numFmtId="0" fontId="15" fillId="3" borderId="2" applyProtection="0"/>
    <xf numFmtId="0" fontId="15" fillId="12" borderId="2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142">
    <xf numFmtId="0" fontId="0" fillId="0" borderId="0" xfId="0"/>
    <xf numFmtId="0" fontId="4" fillId="0" borderId="0" xfId="0" applyFont="1" applyAlignment="1">
      <alignment vertical="top" wrapText="1"/>
    </xf>
    <xf numFmtId="1" fontId="4" fillId="0" borderId="0" xfId="0" applyNumberFormat="1" applyFont="1" applyAlignment="1">
      <alignment vertical="top" wrapText="1"/>
    </xf>
    <xf numFmtId="0" fontId="4" fillId="16" borderId="0" xfId="0" applyFont="1" applyFill="1" applyAlignment="1">
      <alignment vertical="top" wrapText="1"/>
    </xf>
    <xf numFmtId="2" fontId="4" fillId="0" borderId="0" xfId="0" applyNumberFormat="1" applyFont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25" fillId="0" borderId="0" xfId="69" applyFont="1" applyFill="1" applyAlignment="1">
      <alignment vertical="top" wrapText="1"/>
    </xf>
    <xf numFmtId="4" fontId="4" fillId="0" borderId="0" xfId="0" applyNumberFormat="1" applyFont="1" applyAlignment="1">
      <alignment horizontal="center" vertical="top" wrapText="1"/>
    </xf>
    <xf numFmtId="4" fontId="4" fillId="0" borderId="0" xfId="68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4" fontId="22" fillId="0" borderId="11" xfId="37" applyNumberFormat="1" applyFont="1" applyBorder="1" applyAlignment="1">
      <alignment horizontal="center" vertical="top" wrapText="1"/>
    </xf>
    <xf numFmtId="1" fontId="4" fillId="0" borderId="11" xfId="37" applyNumberFormat="1" applyFont="1" applyBorder="1" applyAlignment="1">
      <alignment horizontal="center" vertical="top" wrapText="1"/>
    </xf>
    <xf numFmtId="0" fontId="4" fillId="9" borderId="11" xfId="0" applyFont="1" applyFill="1" applyBorder="1" applyAlignment="1">
      <alignment vertical="top" wrapText="1"/>
    </xf>
    <xf numFmtId="0" fontId="22" fillId="9" borderId="11" xfId="37" applyFont="1" applyFill="1" applyBorder="1" applyAlignment="1">
      <alignment horizontal="centerContinuous" vertical="top" wrapText="1"/>
    </xf>
    <xf numFmtId="0" fontId="22" fillId="9" borderId="11" xfId="37" applyFont="1" applyFill="1" applyBorder="1" applyAlignment="1">
      <alignment horizontal="center" vertical="top" wrapText="1"/>
    </xf>
    <xf numFmtId="0" fontId="4" fillId="16" borderId="11" xfId="0" applyFont="1" applyFill="1" applyBorder="1" applyAlignment="1">
      <alignment vertical="top" wrapText="1"/>
    </xf>
    <xf numFmtId="0" fontId="22" fillId="16" borderId="11" xfId="37" applyFont="1" applyFill="1" applyBorder="1" applyAlignment="1">
      <alignment horizontal="center" vertical="top" wrapText="1"/>
    </xf>
    <xf numFmtId="0" fontId="22" fillId="16" borderId="11" xfId="0" applyFont="1" applyFill="1" applyBorder="1" applyAlignment="1">
      <alignment horizontal="center" vertical="top" wrapText="1"/>
    </xf>
    <xf numFmtId="4" fontId="22" fillId="16" borderId="11" xfId="0" applyNumberFormat="1" applyFont="1" applyFill="1" applyBorder="1" applyAlignment="1">
      <alignment horizontal="center" vertical="top" wrapText="1"/>
    </xf>
    <xf numFmtId="0" fontId="22" fillId="7" borderId="11" xfId="1" applyFont="1" applyFill="1" applyBorder="1" applyAlignment="1">
      <alignment horizontal="left" vertical="top" wrapText="1"/>
    </xf>
    <xf numFmtId="0" fontId="4" fillId="7" borderId="11" xfId="1" applyFont="1" applyFill="1" applyBorder="1" applyAlignment="1">
      <alignment horizontal="center" vertical="top" wrapText="1"/>
    </xf>
    <xf numFmtId="4" fontId="22" fillId="15" borderId="11" xfId="37" applyNumberFormat="1" applyFont="1" applyFill="1" applyBorder="1" applyAlignment="1">
      <alignment horizontal="center" vertical="top" wrapText="1"/>
    </xf>
    <xf numFmtId="4" fontId="22" fillId="7" borderId="11" xfId="68" applyNumberFormat="1" applyFont="1" applyFill="1" applyBorder="1" applyAlignment="1">
      <alignment horizontal="center" vertical="top" wrapText="1"/>
    </xf>
    <xf numFmtId="0" fontId="23" fillId="15" borderId="11" xfId="37" applyFont="1" applyFill="1" applyBorder="1" applyAlignment="1">
      <alignment horizontal="center" vertical="top" wrapText="1"/>
    </xf>
    <xf numFmtId="0" fontId="24" fillId="0" borderId="11" xfId="0" applyFont="1" applyFill="1" applyBorder="1" applyAlignment="1">
      <alignment horizontal="center" vertical="top" wrapText="1"/>
    </xf>
    <xf numFmtId="0" fontId="4" fillId="0" borderId="11" xfId="1" applyFont="1" applyBorder="1" applyAlignment="1">
      <alignment horizontal="left" vertical="top" wrapText="1"/>
    </xf>
    <xf numFmtId="0" fontId="4" fillId="2" borderId="11" xfId="1" applyFont="1" applyFill="1" applyBorder="1" applyAlignment="1">
      <alignment horizontal="center" vertical="top" wrapText="1"/>
    </xf>
    <xf numFmtId="4" fontId="4" fillId="8" borderId="11" xfId="37" applyNumberFormat="1" applyFont="1" applyFill="1" applyBorder="1" applyAlignment="1">
      <alignment horizontal="center" vertical="top" wrapText="1"/>
    </xf>
    <xf numFmtId="4" fontId="4" fillId="0" borderId="11" xfId="68" applyNumberFormat="1" applyFont="1" applyBorder="1" applyAlignment="1">
      <alignment horizontal="center" vertical="top" wrapText="1"/>
    </xf>
    <xf numFmtId="49" fontId="23" fillId="2" borderId="11" xfId="37" applyNumberFormat="1" applyFont="1" applyFill="1" applyBorder="1" applyAlignment="1">
      <alignment horizontal="center" vertical="top" wrapText="1"/>
    </xf>
    <xf numFmtId="0" fontId="4" fillId="2" borderId="11" xfId="1" applyFont="1" applyFill="1" applyBorder="1" applyAlignment="1">
      <alignment horizontal="left" vertical="top" wrapText="1"/>
    </xf>
    <xf numFmtId="49" fontId="23" fillId="0" borderId="11" xfId="37" applyNumberFormat="1" applyFont="1" applyBorder="1" applyAlignment="1">
      <alignment horizontal="center" vertical="top" wrapText="1"/>
    </xf>
    <xf numFmtId="0" fontId="4" fillId="2" borderId="11" xfId="28" applyFont="1" applyFill="1" applyBorder="1" applyAlignment="1">
      <alignment vertical="top" wrapText="1"/>
    </xf>
    <xf numFmtId="2" fontId="4" fillId="0" borderId="11" xfId="38" applyNumberFormat="1" applyFont="1" applyBorder="1" applyAlignment="1">
      <alignment horizontal="center" vertical="top" wrapText="1"/>
    </xf>
    <xf numFmtId="4" fontId="4" fillId="0" borderId="11" xfId="28" applyNumberFormat="1" applyFont="1" applyBorder="1" applyAlignment="1">
      <alignment horizontal="center" vertical="top" wrapText="1"/>
    </xf>
    <xf numFmtId="167" fontId="4" fillId="8" borderId="11" xfId="37" applyNumberFormat="1" applyFont="1" applyFill="1" applyBorder="1" applyAlignment="1">
      <alignment horizontal="center" vertical="top" wrapText="1"/>
    </xf>
    <xf numFmtId="2" fontId="4" fillId="0" borderId="11" xfId="0" applyNumberFormat="1" applyFont="1" applyBorder="1" applyAlignment="1">
      <alignment horizontal="center" vertical="top" wrapText="1"/>
    </xf>
    <xf numFmtId="0" fontId="4" fillId="0" borderId="11" xfId="38" applyFont="1" applyBorder="1" applyAlignment="1">
      <alignment horizontal="center" vertical="top" wrapText="1"/>
    </xf>
    <xf numFmtId="4" fontId="4" fillId="15" borderId="11" xfId="37" applyNumberFormat="1" applyFont="1" applyFill="1" applyBorder="1" applyAlignment="1">
      <alignment horizontal="center" vertical="top" wrapText="1"/>
    </xf>
    <xf numFmtId="49" fontId="23" fillId="7" borderId="11" xfId="37" applyNumberFormat="1" applyFont="1" applyFill="1" applyBorder="1" applyAlignment="1">
      <alignment horizontal="center" vertical="top" wrapText="1"/>
    </xf>
    <xf numFmtId="4" fontId="4" fillId="0" borderId="11" xfId="37" applyNumberFormat="1" applyFont="1" applyBorder="1" applyAlignment="1">
      <alignment horizontal="center" vertical="top" wrapText="1"/>
    </xf>
    <xf numFmtId="0" fontId="26" fillId="7" borderId="11" xfId="1" applyFont="1" applyFill="1" applyBorder="1" applyAlignment="1">
      <alignment horizontal="left" vertical="top" wrapText="1"/>
    </xf>
    <xf numFmtId="0" fontId="22" fillId="19" borderId="11" xfId="28" applyFont="1" applyFill="1" applyBorder="1" applyAlignment="1">
      <alignment vertical="top" wrapText="1"/>
    </xf>
    <xf numFmtId="4" fontId="4" fillId="11" borderId="11" xfId="0" applyNumberFormat="1" applyFont="1" applyFill="1" applyBorder="1" applyAlignment="1">
      <alignment horizontal="center" vertical="top" wrapText="1"/>
    </xf>
    <xf numFmtId="2" fontId="4" fillId="2" borderId="11" xfId="28" applyNumberFormat="1" applyFont="1" applyFill="1" applyBorder="1" applyAlignment="1">
      <alignment horizontal="center" vertical="top" wrapText="1"/>
    </xf>
    <xf numFmtId="1" fontId="4" fillId="2" borderId="11" xfId="28" applyNumberFormat="1" applyFont="1" applyFill="1" applyBorder="1" applyAlignment="1">
      <alignment horizontal="center" vertical="top" wrapText="1"/>
    </xf>
    <xf numFmtId="0" fontId="4" fillId="18" borderId="11" xfId="28" applyFont="1" applyFill="1" applyBorder="1" applyAlignment="1">
      <alignment vertical="top" wrapText="1"/>
    </xf>
    <xf numFmtId="0" fontId="22" fillId="7" borderId="11" xfId="28" applyFont="1" applyFill="1" applyBorder="1" applyAlignment="1">
      <alignment vertical="top" wrapText="1"/>
    </xf>
    <xf numFmtId="2" fontId="4" fillId="7" borderId="11" xfId="0" applyNumberFormat="1" applyFont="1" applyFill="1" applyBorder="1" applyAlignment="1">
      <alignment horizontal="center" vertical="top" wrapText="1"/>
    </xf>
    <xf numFmtId="0" fontId="4" fillId="15" borderId="11" xfId="37" applyFont="1" applyFill="1" applyBorder="1" applyAlignment="1">
      <alignment horizontal="center" vertical="top" wrapText="1"/>
    </xf>
    <xf numFmtId="49" fontId="23" fillId="17" borderId="11" xfId="0" applyNumberFormat="1" applyFont="1" applyFill="1" applyBorder="1" applyAlignment="1">
      <alignment horizontal="center" vertical="top" wrapText="1"/>
    </xf>
    <xf numFmtId="0" fontId="4" fillId="0" borderId="11" xfId="28" applyFont="1" applyBorder="1" applyAlignment="1">
      <alignment vertical="top" wrapText="1"/>
    </xf>
    <xf numFmtId="0" fontId="4" fillId="8" borderId="11" xfId="37" applyFont="1" applyFill="1" applyBorder="1" applyAlignment="1">
      <alignment horizontal="center" vertical="top" wrapText="1"/>
    </xf>
    <xf numFmtId="0" fontId="27" fillId="0" borderId="0" xfId="0" applyFont="1"/>
    <xf numFmtId="0" fontId="27" fillId="0" borderId="0" xfId="0" applyFont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11" xfId="0" applyFont="1" applyBorder="1" applyAlignment="1">
      <alignment vertical="center" wrapText="1"/>
    </xf>
    <xf numFmtId="2" fontId="5" fillId="0" borderId="6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164" fontId="5" fillId="14" borderId="6" xfId="0" applyNumberFormat="1" applyFont="1" applyFill="1" applyBorder="1"/>
    <xf numFmtId="0" fontId="5" fillId="0" borderId="6" xfId="0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0" fontId="5" fillId="0" borderId="6" xfId="0" applyFont="1" applyBorder="1"/>
    <xf numFmtId="0" fontId="27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 wrapText="1"/>
    </xf>
    <xf numFmtId="164" fontId="5" fillId="0" borderId="6" xfId="68" applyFont="1" applyBorder="1" applyAlignment="1">
      <alignment horizontal="center" vertical="center"/>
    </xf>
    <xf numFmtId="164" fontId="5" fillId="0" borderId="6" xfId="68" applyFont="1" applyFill="1" applyBorder="1"/>
    <xf numFmtId="2" fontId="27" fillId="14" borderId="6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49" fontId="22" fillId="0" borderId="0" xfId="37" applyNumberFormat="1" applyFont="1" applyAlignment="1">
      <alignment horizontal="center" vertical="top" wrapText="1"/>
    </xf>
    <xf numFmtId="49" fontId="4" fillId="0" borderId="12" xfId="37" applyNumberFormat="1" applyFont="1" applyBorder="1" applyAlignment="1">
      <alignment horizontal="center" vertical="top" wrapText="1"/>
    </xf>
    <xf numFmtId="49" fontId="4" fillId="0" borderId="0" xfId="37" applyNumberFormat="1" applyFont="1" applyBorder="1" applyAlignment="1">
      <alignment horizontal="center" vertical="top" wrapText="1"/>
    </xf>
    <xf numFmtId="49" fontId="22" fillId="0" borderId="11" xfId="37" applyNumberFormat="1" applyFont="1" applyBorder="1" applyAlignment="1">
      <alignment horizontal="center" vertical="top" wrapText="1"/>
    </xf>
    <xf numFmtId="4" fontId="22" fillId="0" borderId="11" xfId="37" applyNumberFormat="1" applyFont="1" applyBorder="1" applyAlignment="1">
      <alignment horizontal="center" vertical="top" wrapText="1"/>
    </xf>
    <xf numFmtId="4" fontId="22" fillId="0" borderId="11" xfId="68" applyNumberFormat="1" applyFont="1" applyBorder="1" applyAlignment="1">
      <alignment horizontal="center" vertical="top" wrapText="1"/>
    </xf>
    <xf numFmtId="0" fontId="27" fillId="20" borderId="7" xfId="0" applyFont="1" applyFill="1" applyBorder="1" applyAlignment="1">
      <alignment horizontal="center" vertical="center" wrapText="1"/>
    </xf>
    <xf numFmtId="0" fontId="27" fillId="20" borderId="5" xfId="0" applyFont="1" applyFill="1" applyBorder="1" applyAlignment="1">
      <alignment horizontal="center" vertical="center" wrapText="1"/>
    </xf>
    <xf numFmtId="0" fontId="27" fillId="20" borderId="3" xfId="0" applyFont="1" applyFill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164" fontId="28" fillId="7" borderId="11" xfId="68" applyFont="1" applyFill="1" applyBorder="1" applyAlignment="1">
      <alignment horizontal="right" vertical="top" wrapText="1"/>
    </xf>
    <xf numFmtId="164" fontId="28" fillId="21" borderId="11" xfId="68" applyFont="1" applyFill="1" applyBorder="1" applyAlignment="1">
      <alignment horizontal="right" vertical="top" wrapText="1"/>
    </xf>
    <xf numFmtId="0" fontId="21" fillId="7" borderId="11" xfId="0" applyFont="1" applyFill="1" applyBorder="1" applyAlignment="1">
      <alignment horizontal="center" vertical="top" wrapText="1"/>
    </xf>
    <xf numFmtId="0" fontId="24" fillId="7" borderId="11" xfId="0" applyFont="1" applyFill="1" applyBorder="1" applyAlignment="1">
      <alignment horizontal="center" vertical="top" wrapText="1"/>
    </xf>
    <xf numFmtId="164" fontId="29" fillId="0" borderId="11" xfId="68" applyFont="1" applyFill="1" applyBorder="1" applyAlignment="1">
      <alignment horizontal="right" vertical="top" wrapText="1"/>
    </xf>
    <xf numFmtId="164" fontId="29" fillId="21" borderId="11" xfId="68" applyFont="1" applyFill="1" applyBorder="1" applyAlignment="1">
      <alignment horizontal="right" vertical="top" wrapText="1"/>
    </xf>
    <xf numFmtId="0" fontId="30" fillId="10" borderId="13" xfId="0" quotePrefix="1" applyFont="1" applyFill="1" applyBorder="1" applyAlignment="1">
      <alignment horizontal="center" vertical="center"/>
    </xf>
    <xf numFmtId="0" fontId="30" fillId="10" borderId="9" xfId="0" quotePrefix="1" applyFont="1" applyFill="1" applyBorder="1" applyAlignment="1">
      <alignment horizontal="center" vertical="center"/>
    </xf>
    <xf numFmtId="0" fontId="30" fillId="10" borderId="10" xfId="0" quotePrefix="1" applyFont="1" applyFill="1" applyBorder="1" applyAlignment="1">
      <alignment horizontal="center" vertical="center"/>
    </xf>
    <xf numFmtId="0" fontId="30" fillId="10" borderId="11" xfId="0" quotePrefix="1" applyFont="1" applyFill="1" applyBorder="1" applyAlignment="1">
      <alignment vertical="center"/>
    </xf>
    <xf numFmtId="164" fontId="30" fillId="10" borderId="11" xfId="0" applyNumberFormat="1" applyFont="1" applyFill="1" applyBorder="1" applyAlignment="1">
      <alignment horizontal="right" vertical="center"/>
    </xf>
    <xf numFmtId="4" fontId="30" fillId="0" borderId="11" xfId="45" applyNumberFormat="1" applyFont="1" applyBorder="1" applyAlignment="1">
      <alignment horizontal="right" vertical="center"/>
    </xf>
    <xf numFmtId="0" fontId="4" fillId="0" borderId="14" xfId="0" applyFont="1" applyBorder="1"/>
    <xf numFmtId="0" fontId="31" fillId="22" borderId="15" xfId="45" applyFont="1" applyFill="1" applyBorder="1" applyAlignment="1">
      <alignment horizontal="center" vertical="center"/>
    </xf>
    <xf numFmtId="49" fontId="32" fillId="22" borderId="11" xfId="45" applyNumberFormat="1" applyFont="1" applyFill="1" applyBorder="1" applyAlignment="1">
      <alignment vertical="center"/>
    </xf>
    <xf numFmtId="4" fontId="31" fillId="22" borderId="11" xfId="40" applyNumberFormat="1" applyFont="1" applyFill="1" applyBorder="1" applyAlignment="1">
      <alignment horizontal="center" vertical="center" wrapText="1"/>
    </xf>
    <xf numFmtId="0" fontId="31" fillId="22" borderId="11" xfId="40" applyFont="1" applyFill="1" applyBorder="1" applyAlignment="1">
      <alignment horizontal="center" vertical="center" wrapText="1"/>
    </xf>
    <xf numFmtId="4" fontId="31" fillId="22" borderId="11" xfId="30" applyNumberFormat="1" applyFont="1" applyFill="1" applyBorder="1" applyAlignment="1">
      <alignment horizontal="center" vertical="center"/>
    </xf>
    <xf numFmtId="4" fontId="30" fillId="22" borderId="11" xfId="45" applyNumberFormat="1" applyFont="1" applyFill="1" applyBorder="1" applyAlignment="1">
      <alignment horizontal="right" vertical="center"/>
    </xf>
    <xf numFmtId="4" fontId="33" fillId="22" borderId="11" xfId="45" applyNumberFormat="1" applyFont="1" applyFill="1" applyBorder="1" applyAlignment="1">
      <alignment horizontal="right" vertical="center"/>
    </xf>
    <xf numFmtId="0" fontId="31" fillId="22" borderId="14" xfId="45" applyFont="1" applyFill="1" applyBorder="1" applyAlignment="1">
      <alignment horizontal="center" vertical="center" wrapText="1"/>
    </xf>
    <xf numFmtId="0" fontId="31" fillId="0" borderId="15" xfId="45" applyFont="1" applyBorder="1" applyAlignment="1">
      <alignment horizontal="center" vertical="center"/>
    </xf>
    <xf numFmtId="0" fontId="32" fillId="0" borderId="11" xfId="40" applyFont="1" applyBorder="1" applyAlignment="1">
      <alignment vertical="center" wrapText="1"/>
    </xf>
    <xf numFmtId="4" fontId="31" fillId="0" borderId="11" xfId="40" applyNumberFormat="1" applyFont="1" applyBorder="1" applyAlignment="1">
      <alignment horizontal="center" vertical="center" wrapText="1"/>
    </xf>
    <xf numFmtId="0" fontId="31" fillId="0" borderId="11" xfId="40" applyFont="1" applyBorder="1" applyAlignment="1">
      <alignment horizontal="center" vertical="center" wrapText="1"/>
    </xf>
    <xf numFmtId="4" fontId="31" fillId="0" borderId="11" xfId="30" applyNumberFormat="1" applyFont="1" applyBorder="1" applyAlignment="1">
      <alignment horizontal="center" vertical="center"/>
    </xf>
    <xf numFmtId="4" fontId="33" fillId="0" borderId="11" xfId="45" applyNumberFormat="1" applyFont="1" applyBorder="1" applyAlignment="1">
      <alignment horizontal="right" vertical="center"/>
    </xf>
    <xf numFmtId="0" fontId="31" fillId="0" borderId="14" xfId="45" applyFont="1" applyBorder="1" applyAlignment="1">
      <alignment horizontal="center" vertical="center" wrapText="1"/>
    </xf>
    <xf numFmtId="0" fontId="31" fillId="0" borderId="11" xfId="40" applyFont="1" applyBorder="1" applyAlignment="1">
      <alignment vertical="center" wrapText="1"/>
    </xf>
    <xf numFmtId="4" fontId="31" fillId="2" borderId="11" xfId="30" applyNumberFormat="1" applyFont="1" applyFill="1" applyBorder="1" applyAlignment="1">
      <alignment horizontal="center" vertical="center"/>
    </xf>
    <xf numFmtId="0" fontId="33" fillId="11" borderId="0" xfId="0" applyFont="1" applyFill="1" applyAlignment="1">
      <alignment horizontal="left" vertical="center" wrapText="1"/>
    </xf>
    <xf numFmtId="0" fontId="30" fillId="2" borderId="0" xfId="0" quotePrefix="1" applyFont="1" applyFill="1" applyAlignment="1">
      <alignment horizontal="left" vertical="top"/>
    </xf>
    <xf numFmtId="49" fontId="33" fillId="11" borderId="0" xfId="0" applyNumberFormat="1" applyFont="1" applyFill="1" applyAlignment="1">
      <alignment horizontal="center" vertical="center"/>
    </xf>
    <xf numFmtId="0" fontId="34" fillId="14" borderId="8" xfId="0" applyFont="1" applyFill="1" applyBorder="1" applyAlignment="1">
      <alignment horizontal="left" vertical="top"/>
    </xf>
    <xf numFmtId="0" fontId="34" fillId="14" borderId="9" xfId="0" applyFont="1" applyFill="1" applyBorder="1" applyAlignment="1">
      <alignment horizontal="left" vertical="top"/>
    </xf>
    <xf numFmtId="0" fontId="34" fillId="14" borderId="10" xfId="0" applyFont="1" applyFill="1" applyBorder="1" applyAlignment="1">
      <alignment horizontal="left" vertical="top"/>
    </xf>
    <xf numFmtId="0" fontId="24" fillId="14" borderId="8" xfId="0" applyFont="1" applyFill="1" applyBorder="1" applyAlignment="1">
      <alignment horizontal="center" vertical="center"/>
    </xf>
    <xf numFmtId="0" fontId="24" fillId="14" borderId="9" xfId="0" applyFont="1" applyFill="1" applyBorder="1" applyAlignment="1">
      <alignment horizontal="center" vertical="center"/>
    </xf>
    <xf numFmtId="0" fontId="24" fillId="14" borderId="10" xfId="0" applyFont="1" applyFill="1" applyBorder="1" applyAlignment="1">
      <alignment horizontal="center" vertical="center"/>
    </xf>
    <xf numFmtId="0" fontId="35" fillId="0" borderId="11" xfId="30" applyFont="1" applyBorder="1" applyAlignment="1">
      <alignment horizontal="left" vertical="top"/>
    </xf>
    <xf numFmtId="0" fontId="24" fillId="0" borderId="8" xfId="30" applyFont="1" applyBorder="1" applyAlignment="1">
      <alignment horizontal="center" vertical="center"/>
    </xf>
    <xf numFmtId="0" fontId="24" fillId="0" borderId="9" xfId="30" applyFont="1" applyBorder="1" applyAlignment="1">
      <alignment horizontal="center" vertical="center"/>
    </xf>
    <xf numFmtId="0" fontId="24" fillId="0" borderId="10" xfId="30" applyFont="1" applyBorder="1" applyAlignment="1">
      <alignment horizontal="center" vertical="center"/>
    </xf>
    <xf numFmtId="0" fontId="33" fillId="11" borderId="0" xfId="0" applyFont="1" applyFill="1" applyAlignment="1">
      <alignment vertical="center"/>
    </xf>
    <xf numFmtId="0" fontId="35" fillId="0" borderId="8" xfId="0" applyFont="1" applyBorder="1" applyAlignment="1">
      <alignment horizontal="left" vertical="top"/>
    </xf>
    <xf numFmtId="0" fontId="35" fillId="0" borderId="9" xfId="0" applyFont="1" applyBorder="1" applyAlignment="1">
      <alignment horizontal="left" vertical="top"/>
    </xf>
    <xf numFmtId="0" fontId="35" fillId="0" borderId="10" xfId="0" applyFont="1" applyBorder="1" applyAlignment="1">
      <alignment horizontal="left" vertical="top"/>
    </xf>
    <xf numFmtId="14" fontId="33" fillId="11" borderId="0" xfId="0" applyNumberFormat="1" applyFont="1" applyFill="1" applyAlignment="1">
      <alignment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35" fillId="0" borderId="8" xfId="0" applyFont="1" applyBorder="1" applyAlignment="1">
      <alignment horizontal="left" vertical="top" wrapText="1"/>
    </xf>
    <xf numFmtId="0" fontId="35" fillId="0" borderId="9" xfId="0" applyFont="1" applyBorder="1" applyAlignment="1">
      <alignment horizontal="left" vertical="top" wrapText="1"/>
    </xf>
    <xf numFmtId="0" fontId="35" fillId="0" borderId="10" xfId="0" applyFont="1" applyBorder="1" applyAlignment="1">
      <alignment horizontal="left" vertical="top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</cellXfs>
  <cellStyles count="70">
    <cellStyle name="Excel Built-in Bad" xfId="43" xr:uid="{00000000-0005-0000-0000-000000000000}"/>
    <cellStyle name="Excel Built-in Good" xfId="44" xr:uid="{00000000-0005-0000-0000-000001000000}"/>
    <cellStyle name="Excel Built-in Neutral" xfId="42" xr:uid="{00000000-0005-0000-0000-000002000000}"/>
    <cellStyle name="Excel Built-in Neutral 2" xfId="59" xr:uid="{00000000-0005-0000-0000-000003000000}"/>
    <cellStyle name="Excel Built-in Neutral 3" xfId="58" xr:uid="{00000000-0005-0000-0000-000004000000}"/>
    <cellStyle name="Excel Built-in Neutral 4" xfId="57" xr:uid="{00000000-0005-0000-0000-000005000000}"/>
    <cellStyle name="Excel Built-in Normal" xfId="28" xr:uid="{00000000-0005-0000-0000-000006000000}"/>
    <cellStyle name="Excel Built-in Output" xfId="41" xr:uid="{00000000-0005-0000-0000-000007000000}"/>
    <cellStyle name="Excel Built-in Output 2" xfId="61" xr:uid="{00000000-0005-0000-0000-000008000000}"/>
    <cellStyle name="Excel Built-in Output 3" xfId="60" xr:uid="{00000000-0005-0000-0000-000009000000}"/>
    <cellStyle name="Excel Built-in Output 4" xfId="56" xr:uid="{00000000-0005-0000-0000-00000A000000}"/>
    <cellStyle name="Акт" xfId="2" xr:uid="{00000000-0005-0000-0000-00000B000000}"/>
    <cellStyle name="Акт 2" xfId="46" xr:uid="{00000000-0005-0000-0000-00000C000000}"/>
    <cellStyle name="АктМТСН" xfId="3" xr:uid="{00000000-0005-0000-0000-00000D000000}"/>
    <cellStyle name="ВедРесурсов" xfId="4" xr:uid="{00000000-0005-0000-0000-00000E000000}"/>
    <cellStyle name="ВедРесурсов 2" xfId="47" xr:uid="{00000000-0005-0000-0000-00000F000000}"/>
    <cellStyle name="ВедРесурсовАкт" xfId="5" xr:uid="{00000000-0005-0000-0000-000010000000}"/>
    <cellStyle name="Гиперссылка" xfId="69" builtinId="8"/>
    <cellStyle name="Итоги" xfId="6" xr:uid="{00000000-0005-0000-0000-000011000000}"/>
    <cellStyle name="ИтогоАктБазЦ" xfId="7" xr:uid="{00000000-0005-0000-0000-000012000000}"/>
    <cellStyle name="ИтогоАктТекЦ" xfId="8" xr:uid="{00000000-0005-0000-0000-000013000000}"/>
    <cellStyle name="ИтогоБазЦ" xfId="9" xr:uid="{00000000-0005-0000-0000-000014000000}"/>
    <cellStyle name="ИтогоБИМ" xfId="10" xr:uid="{00000000-0005-0000-0000-000015000000}"/>
    <cellStyle name="ИтогоТекЦ" xfId="11" xr:uid="{00000000-0005-0000-0000-000016000000}"/>
    <cellStyle name="ЛокСмета" xfId="12" xr:uid="{00000000-0005-0000-0000-000017000000}"/>
    <cellStyle name="ЛокСмета 2" xfId="13" xr:uid="{00000000-0005-0000-0000-000018000000}"/>
    <cellStyle name="ЛокСмета 2 2" xfId="49" xr:uid="{00000000-0005-0000-0000-000019000000}"/>
    <cellStyle name="ЛокСмета 3" xfId="48" xr:uid="{00000000-0005-0000-0000-00001A000000}"/>
    <cellStyle name="ЛокСмМТСН" xfId="14" xr:uid="{00000000-0005-0000-0000-00001B000000}"/>
    <cellStyle name="Обычный" xfId="0" builtinId="0"/>
    <cellStyle name="Обычный 2" xfId="23" xr:uid="{00000000-0005-0000-0000-00001D000000}"/>
    <cellStyle name="Обычный 2 10 27 3 2 2" xfId="37" xr:uid="{00000000-0005-0000-0000-00001E000000}"/>
    <cellStyle name="Обычный 2 2" xfId="30" xr:uid="{00000000-0005-0000-0000-00001F000000}"/>
    <cellStyle name="Обычный 2 3" xfId="27" xr:uid="{00000000-0005-0000-0000-000020000000}"/>
    <cellStyle name="Обычный 2 99 7" xfId="38" xr:uid="{00000000-0005-0000-0000-000021000000}"/>
    <cellStyle name="Обычный 3" xfId="22" xr:uid="{00000000-0005-0000-0000-000022000000}"/>
    <cellStyle name="Обычный 3 2" xfId="40" xr:uid="{00000000-0005-0000-0000-000023000000}"/>
    <cellStyle name="Обычный 3 3" xfId="39" xr:uid="{00000000-0005-0000-0000-000024000000}"/>
    <cellStyle name="Обычный 4" xfId="1" xr:uid="{00000000-0005-0000-0000-000025000000}"/>
    <cellStyle name="Обычный 4 2" xfId="29" xr:uid="{00000000-0005-0000-0000-000026000000}"/>
    <cellStyle name="Обычный 4 2 2" xfId="54" xr:uid="{00000000-0005-0000-0000-000027000000}"/>
    <cellStyle name="Обычный 4 2 3" xfId="64" xr:uid="{00000000-0005-0000-0000-000028000000}"/>
    <cellStyle name="Обычный 4 3" xfId="36" xr:uid="{00000000-0005-0000-0000-000029000000}"/>
    <cellStyle name="Обычный 4 4" xfId="45" xr:uid="{00000000-0005-0000-0000-00002A000000}"/>
    <cellStyle name="Обычный 5" xfId="34" xr:uid="{00000000-0005-0000-0000-00002B000000}"/>
    <cellStyle name="Обычный 6" xfId="24" xr:uid="{00000000-0005-0000-0000-00002C000000}"/>
    <cellStyle name="Обычный 7" xfId="35" xr:uid="{00000000-0005-0000-0000-00002D000000}"/>
    <cellStyle name="Параметр" xfId="15" xr:uid="{00000000-0005-0000-0000-00002E000000}"/>
    <cellStyle name="ПеременныеСметы" xfId="16" xr:uid="{00000000-0005-0000-0000-00002F000000}"/>
    <cellStyle name="ПеременныеСметы 2" xfId="50" xr:uid="{00000000-0005-0000-0000-000030000000}"/>
    <cellStyle name="РесСмета" xfId="17" xr:uid="{00000000-0005-0000-0000-000031000000}"/>
    <cellStyle name="РесСмета 2" xfId="51" xr:uid="{00000000-0005-0000-0000-000032000000}"/>
    <cellStyle name="СводкаСтоимРаб" xfId="18" xr:uid="{00000000-0005-0000-0000-000033000000}"/>
    <cellStyle name="СводкаСтоимРаб 2" xfId="52" xr:uid="{00000000-0005-0000-0000-000034000000}"/>
    <cellStyle name="Титул" xfId="19" xr:uid="{00000000-0005-0000-0000-000035000000}"/>
    <cellStyle name="Титул 2" xfId="53" xr:uid="{00000000-0005-0000-0000-000036000000}"/>
    <cellStyle name="Финансовый" xfId="68" builtinId="3"/>
    <cellStyle name="Финансовый 2" xfId="25" xr:uid="{00000000-0005-0000-0000-000038000000}"/>
    <cellStyle name="Финансовый 2 2" xfId="32" xr:uid="{00000000-0005-0000-0000-000039000000}"/>
    <cellStyle name="Финансовый 2 3" xfId="63" xr:uid="{00000000-0005-0000-0000-00003A000000}"/>
    <cellStyle name="Финансовый 2 3 2" xfId="67" xr:uid="{00000000-0005-0000-0000-00003B000000}"/>
    <cellStyle name="Финансовый 3" xfId="31" xr:uid="{00000000-0005-0000-0000-00003C000000}"/>
    <cellStyle name="Финансовый 3 2" xfId="62" xr:uid="{00000000-0005-0000-0000-00003D000000}"/>
    <cellStyle name="Финансовый 3 2 2" xfId="66" xr:uid="{00000000-0005-0000-0000-00003E000000}"/>
    <cellStyle name="Финансовый 3 3" xfId="55" xr:uid="{00000000-0005-0000-0000-00003F000000}"/>
    <cellStyle name="Финансовый 3 4" xfId="65" xr:uid="{00000000-0005-0000-0000-000040000000}"/>
    <cellStyle name="Финансовый 4" xfId="33" xr:uid="{00000000-0005-0000-0000-000041000000}"/>
    <cellStyle name="Хвост" xfId="20" xr:uid="{00000000-0005-0000-0000-000042000000}"/>
    <cellStyle name="Экспертиза" xfId="21" xr:uid="{00000000-0005-0000-0000-000043000000}"/>
    <cellStyle name="㼿㼿㼿㼿㼿㼿㼿㼿㼿㼿㼿㼿㼿㼿" xfId="26" xr:uid="{00000000-0005-0000-0000-00004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08CA4-A0F2-4BAB-AD12-DC62BA92BF95}">
  <dimension ref="A1:N150"/>
  <sheetViews>
    <sheetView tabSelected="1" workbookViewId="0">
      <pane ySplit="7" topLeftCell="A8" activePane="bottomLeft" state="frozen"/>
      <selection pane="bottomLeft" activeCell="B8" sqref="B8"/>
    </sheetView>
  </sheetViews>
  <sheetFormatPr defaultColWidth="9.140625" defaultRowHeight="12.75" x14ac:dyDescent="0.25"/>
  <cols>
    <col min="1" max="1" width="5.5703125" style="1" customWidth="1"/>
    <col min="2" max="2" width="42.5703125" style="1" customWidth="1"/>
    <col min="3" max="3" width="5" style="1" customWidth="1"/>
    <col min="4" max="4" width="5.5703125" style="7" customWidth="1"/>
    <col min="5" max="5" width="8.5703125" style="8" customWidth="1"/>
    <col min="6" max="8" width="9.7109375" style="7" customWidth="1"/>
    <col min="9" max="9" width="12.28515625" style="7" customWidth="1"/>
    <col min="10" max="10" width="10.42578125" style="7" customWidth="1"/>
    <col min="11" max="11" width="11.140625" style="7" customWidth="1"/>
    <col min="12" max="12" width="14" style="9" customWidth="1"/>
    <col min="13" max="13" width="45.28515625" style="1" customWidth="1"/>
    <col min="14" max="14" width="32.85546875" style="1" customWidth="1"/>
    <col min="15" max="15" width="9.140625" style="1"/>
    <col min="16" max="16" width="12.28515625" style="1" bestFit="1" customWidth="1"/>
    <col min="17" max="16384" width="9.140625" style="1"/>
  </cols>
  <sheetData>
    <row r="1" spans="1:14" ht="15.75" customHeight="1" x14ac:dyDescent="0.25">
      <c r="A1" s="73" t="s">
        <v>129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4" ht="15.75" customHeight="1" x14ac:dyDescent="0.25">
      <c r="A2" s="73" t="s">
        <v>19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14" ht="20.25" customHeight="1" x14ac:dyDescent="0.25">
      <c r="A3" s="74" t="s">
        <v>145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1:14" ht="16.5" customHeight="1" x14ac:dyDescent="0.25">
      <c r="A4" s="76" t="s">
        <v>45</v>
      </c>
      <c r="B4" s="76" t="s">
        <v>130</v>
      </c>
      <c r="C4" s="76" t="s">
        <v>34</v>
      </c>
      <c r="D4" s="77" t="s">
        <v>4</v>
      </c>
      <c r="E4" s="78" t="s">
        <v>5</v>
      </c>
      <c r="F4" s="77" t="s">
        <v>156</v>
      </c>
      <c r="G4" s="77"/>
      <c r="H4" s="77"/>
      <c r="I4" s="77" t="s">
        <v>157</v>
      </c>
      <c r="J4" s="77"/>
      <c r="K4" s="77"/>
      <c r="L4" s="76" t="s">
        <v>6</v>
      </c>
    </row>
    <row r="5" spans="1:14" x14ac:dyDescent="0.25">
      <c r="A5" s="76"/>
      <c r="B5" s="76"/>
      <c r="C5" s="76"/>
      <c r="D5" s="77"/>
      <c r="E5" s="78"/>
      <c r="F5" s="77" t="s">
        <v>7</v>
      </c>
      <c r="G5" s="77" t="s">
        <v>8</v>
      </c>
      <c r="H5" s="77"/>
      <c r="I5" s="77" t="s">
        <v>7</v>
      </c>
      <c r="J5" s="77" t="s">
        <v>8</v>
      </c>
      <c r="K5" s="77"/>
      <c r="L5" s="76"/>
    </row>
    <row r="6" spans="1:14" ht="25.5" x14ac:dyDescent="0.25">
      <c r="A6" s="76"/>
      <c r="B6" s="76"/>
      <c r="C6" s="76"/>
      <c r="D6" s="77"/>
      <c r="E6" s="78"/>
      <c r="F6" s="77"/>
      <c r="G6" s="10" t="s">
        <v>9</v>
      </c>
      <c r="H6" s="10" t="s">
        <v>10</v>
      </c>
      <c r="I6" s="77"/>
      <c r="J6" s="10" t="s">
        <v>9</v>
      </c>
      <c r="K6" s="10" t="s">
        <v>10</v>
      </c>
      <c r="L6" s="76"/>
    </row>
    <row r="7" spans="1:14" s="2" customFormat="1" x14ac:dyDescent="0.25">
      <c r="A7" s="11">
        <v>1</v>
      </c>
      <c r="B7" s="11">
        <v>2</v>
      </c>
      <c r="C7" s="11">
        <v>3</v>
      </c>
      <c r="D7" s="11">
        <v>4</v>
      </c>
      <c r="E7" s="11">
        <v>5</v>
      </c>
      <c r="F7" s="11">
        <v>6</v>
      </c>
      <c r="G7" s="11">
        <v>7</v>
      </c>
      <c r="H7" s="11">
        <v>8</v>
      </c>
      <c r="I7" s="11">
        <v>9</v>
      </c>
      <c r="J7" s="11">
        <v>10</v>
      </c>
      <c r="K7" s="11">
        <v>11</v>
      </c>
      <c r="L7" s="11">
        <v>12</v>
      </c>
    </row>
    <row r="8" spans="1:14" x14ac:dyDescent="0.25">
      <c r="A8" s="12"/>
      <c r="B8" s="13" t="s">
        <v>64</v>
      </c>
      <c r="C8" s="13"/>
      <c r="D8" s="14"/>
      <c r="E8" s="14"/>
      <c r="F8" s="14"/>
      <c r="G8" s="14"/>
      <c r="H8" s="14"/>
      <c r="I8" s="14"/>
      <c r="J8" s="14"/>
      <c r="K8" s="14"/>
      <c r="L8" s="14"/>
    </row>
    <row r="9" spans="1:14" s="5" customFormat="1" x14ac:dyDescent="0.25">
      <c r="A9" s="15"/>
      <c r="B9" s="16" t="s">
        <v>113</v>
      </c>
      <c r="C9" s="17"/>
      <c r="D9" s="18"/>
      <c r="E9" s="18"/>
      <c r="F9" s="18"/>
      <c r="G9" s="18"/>
      <c r="H9" s="18"/>
      <c r="I9" s="18"/>
      <c r="J9" s="18"/>
      <c r="K9" s="18"/>
      <c r="L9" s="17"/>
    </row>
    <row r="10" spans="1:14" ht="25.5" x14ac:dyDescent="0.25">
      <c r="A10" s="87" t="str">
        <f>IF(TRIM(E10)&lt;&gt;"",COUNTA($E10:E$10)&amp;"","")</f>
        <v>1</v>
      </c>
      <c r="B10" s="19" t="s">
        <v>50</v>
      </c>
      <c r="C10" s="20" t="s">
        <v>1</v>
      </c>
      <c r="D10" s="21"/>
      <c r="E10" s="22">
        <f>Расчет!E4+Расчет!E5+0.35*E28</f>
        <v>603.40900000000011</v>
      </c>
      <c r="F10" s="85">
        <f t="shared" ref="F10:F11" si="0">G10+H10</f>
        <v>0</v>
      </c>
      <c r="G10" s="86"/>
      <c r="H10" s="85"/>
      <c r="I10" s="85">
        <f t="shared" ref="I10:I11" si="1">J10+K10</f>
        <v>0</v>
      </c>
      <c r="J10" s="85">
        <f>G10*E10</f>
        <v>0</v>
      </c>
      <c r="K10" s="85"/>
      <c r="L10" s="23"/>
      <c r="N10" s="4"/>
    </row>
    <row r="11" spans="1:14" ht="25.5" x14ac:dyDescent="0.25">
      <c r="A11" s="24" t="str">
        <f>IF(TRIM(E11)&lt;&gt;"",COUNTA($E$10:E11)&amp;"","")</f>
        <v>2</v>
      </c>
      <c r="B11" s="25" t="s">
        <v>74</v>
      </c>
      <c r="C11" s="26" t="s">
        <v>20</v>
      </c>
      <c r="D11" s="27">
        <v>0.35</v>
      </c>
      <c r="E11" s="28">
        <f>E10*D11</f>
        <v>211.19315000000003</v>
      </c>
      <c r="F11" s="89">
        <f t="shared" si="0"/>
        <v>0</v>
      </c>
      <c r="G11" s="89"/>
      <c r="H11" s="90"/>
      <c r="I11" s="89">
        <f t="shared" si="1"/>
        <v>0</v>
      </c>
      <c r="J11" s="89"/>
      <c r="K11" s="89">
        <f t="shared" ref="K11" si="2">H11*E11</f>
        <v>0</v>
      </c>
      <c r="L11" s="29" t="s">
        <v>11</v>
      </c>
      <c r="N11" s="4"/>
    </row>
    <row r="12" spans="1:14" ht="25.5" x14ac:dyDescent="0.25">
      <c r="A12" s="88" t="str">
        <f>IF(TRIM(E12)&lt;&gt;"",COUNTA($E$10:E12)&amp;"","")</f>
        <v>3</v>
      </c>
      <c r="B12" s="19" t="s">
        <v>114</v>
      </c>
      <c r="C12" s="20" t="s">
        <v>1</v>
      </c>
      <c r="D12" s="21"/>
      <c r="E12" s="22">
        <f>E10</f>
        <v>603.40900000000011</v>
      </c>
      <c r="F12" s="85">
        <f t="shared" ref="F11:F14" si="3">G12+H12</f>
        <v>0</v>
      </c>
      <c r="G12" s="86"/>
      <c r="H12" s="85"/>
      <c r="I12" s="85">
        <f t="shared" ref="I11:I27" si="4">J12+K12</f>
        <v>0</v>
      </c>
      <c r="J12" s="85">
        <f>G12*E12</f>
        <v>0</v>
      </c>
      <c r="K12" s="85"/>
      <c r="L12" s="23"/>
      <c r="N12" s="4"/>
    </row>
    <row r="13" spans="1:14" ht="25.5" x14ac:dyDescent="0.25">
      <c r="A13" s="24" t="str">
        <f>IF(TRIM(E13)&lt;&gt;"",COUNTA($E$10:E13)&amp;"","")</f>
        <v>4</v>
      </c>
      <c r="B13" s="30" t="s">
        <v>75</v>
      </c>
      <c r="C13" s="26" t="s">
        <v>1</v>
      </c>
      <c r="D13" s="27">
        <v>1.1499999999999999</v>
      </c>
      <c r="E13" s="28">
        <f>E12*D13</f>
        <v>693.9203500000001</v>
      </c>
      <c r="F13" s="89">
        <f t="shared" si="3"/>
        <v>0</v>
      </c>
      <c r="G13" s="89"/>
      <c r="H13" s="90"/>
      <c r="I13" s="89">
        <f t="shared" si="4"/>
        <v>0</v>
      </c>
      <c r="J13" s="89"/>
      <c r="K13" s="89">
        <f t="shared" ref="K13:K14" si="5">H13*E13</f>
        <v>0</v>
      </c>
      <c r="L13" s="31" t="s">
        <v>11</v>
      </c>
      <c r="N13" s="4"/>
    </row>
    <row r="14" spans="1:14" ht="25.5" x14ac:dyDescent="0.25">
      <c r="A14" s="24" t="str">
        <f>IF(TRIM(E14)&lt;&gt;"",COUNTA($E$10:E14)&amp;"","")</f>
        <v>5</v>
      </c>
      <c r="B14" s="32" t="s">
        <v>115</v>
      </c>
      <c r="C14" s="33" t="s">
        <v>3</v>
      </c>
      <c r="D14" s="34">
        <v>0.3</v>
      </c>
      <c r="E14" s="28">
        <f>E12*D14</f>
        <v>181.02270000000001</v>
      </c>
      <c r="F14" s="89">
        <f t="shared" si="3"/>
        <v>0</v>
      </c>
      <c r="G14" s="89"/>
      <c r="H14" s="90"/>
      <c r="I14" s="89">
        <f t="shared" si="4"/>
        <v>0</v>
      </c>
      <c r="J14" s="89"/>
      <c r="K14" s="89">
        <f t="shared" si="5"/>
        <v>0</v>
      </c>
      <c r="L14" s="31" t="s">
        <v>11</v>
      </c>
      <c r="N14" s="4"/>
    </row>
    <row r="15" spans="1:14" ht="14.25" x14ac:dyDescent="0.25">
      <c r="A15" s="88" t="str">
        <f>IF(TRIM(E15)&lt;&gt;"",COUNTA($E$10:E15)&amp;"","")</f>
        <v>6</v>
      </c>
      <c r="B15" s="19" t="s">
        <v>47</v>
      </c>
      <c r="C15" s="20" t="s">
        <v>1</v>
      </c>
      <c r="D15" s="21"/>
      <c r="E15" s="22">
        <f>Расчет!E4+Расчет!E5</f>
        <v>519.92000000000007</v>
      </c>
      <c r="F15" s="85">
        <f t="shared" ref="F15:F16" si="6">G15+H15</f>
        <v>0</v>
      </c>
      <c r="G15" s="86"/>
      <c r="H15" s="85"/>
      <c r="I15" s="85">
        <f t="shared" si="4"/>
        <v>0</v>
      </c>
      <c r="J15" s="85">
        <f>G15*E15</f>
        <v>0</v>
      </c>
      <c r="K15" s="85"/>
      <c r="L15" s="23"/>
      <c r="N15" s="4"/>
    </row>
    <row r="16" spans="1:14" ht="25.5" x14ac:dyDescent="0.25">
      <c r="A16" s="24" t="str">
        <f>IF(TRIM(E16)&lt;&gt;"",COUNTA($E$10:E16)&amp;"","")</f>
        <v>7</v>
      </c>
      <c r="B16" s="30" t="s">
        <v>71</v>
      </c>
      <c r="C16" s="26" t="s">
        <v>22</v>
      </c>
      <c r="D16" s="27">
        <v>1.1000000000000001</v>
      </c>
      <c r="E16" s="28">
        <f>E15*0.1*D16</f>
        <v>57.191200000000016</v>
      </c>
      <c r="F16" s="89">
        <f t="shared" si="6"/>
        <v>0</v>
      </c>
      <c r="G16" s="89"/>
      <c r="H16" s="90"/>
      <c r="I16" s="89">
        <f t="shared" si="4"/>
        <v>0</v>
      </c>
      <c r="J16" s="89"/>
      <c r="K16" s="89">
        <f t="shared" ref="K16" si="7">H16*E16</f>
        <v>0</v>
      </c>
      <c r="L16" s="31" t="s">
        <v>11</v>
      </c>
      <c r="N16" s="4"/>
    </row>
    <row r="17" spans="1:14" ht="14.25" x14ac:dyDescent="0.25">
      <c r="A17" s="88" t="str">
        <f>IF(TRIM(E17)&lt;&gt;"",COUNTA($E$10:E17)&amp;"","")</f>
        <v>8</v>
      </c>
      <c r="B17" s="19" t="s">
        <v>87</v>
      </c>
      <c r="C17" s="20" t="s">
        <v>1</v>
      </c>
      <c r="D17" s="21"/>
      <c r="E17" s="22">
        <f>E28*0.47</f>
        <v>112.11379999999998</v>
      </c>
      <c r="F17" s="85">
        <f t="shared" ref="F15:F27" si="8">G17+H17</f>
        <v>0</v>
      </c>
      <c r="G17" s="86"/>
      <c r="H17" s="85"/>
      <c r="I17" s="85">
        <f t="shared" si="4"/>
        <v>0</v>
      </c>
      <c r="J17" s="85">
        <f>G17*E17</f>
        <v>0</v>
      </c>
      <c r="K17" s="85"/>
      <c r="L17" s="23"/>
      <c r="N17" s="4"/>
    </row>
    <row r="18" spans="1:14" ht="25.5" x14ac:dyDescent="0.25">
      <c r="A18" s="24" t="str">
        <f>IF(TRIM(E18)&lt;&gt;"",COUNTA($E$10:E18)&amp;"","")</f>
        <v>9</v>
      </c>
      <c r="B18" s="30" t="s">
        <v>88</v>
      </c>
      <c r="C18" s="26" t="s">
        <v>22</v>
      </c>
      <c r="D18" s="27">
        <v>1.03</v>
      </c>
      <c r="E18" s="28">
        <f>E17*0.05*D18</f>
        <v>5.7738606999999993</v>
      </c>
      <c r="F18" s="89">
        <f t="shared" si="8"/>
        <v>0</v>
      </c>
      <c r="G18" s="89"/>
      <c r="H18" s="90"/>
      <c r="I18" s="89">
        <f t="shared" si="4"/>
        <v>0</v>
      </c>
      <c r="J18" s="89"/>
      <c r="K18" s="89">
        <f t="shared" ref="K18:K19" si="9">H18*E18</f>
        <v>0</v>
      </c>
      <c r="L18" s="31" t="s">
        <v>11</v>
      </c>
      <c r="N18" s="4"/>
    </row>
    <row r="19" spans="1:14" ht="25.5" x14ac:dyDescent="0.25">
      <c r="A19" s="24" t="str">
        <f>IF(TRIM(E19)&lt;&gt;"",COUNTA($E$10:E19)&amp;"","")</f>
        <v>10</v>
      </c>
      <c r="B19" s="30" t="s">
        <v>89</v>
      </c>
      <c r="C19" s="26" t="s">
        <v>0</v>
      </c>
      <c r="D19" s="27">
        <v>5</v>
      </c>
      <c r="E19" s="28">
        <f>ROUND(E17*D19,0)</f>
        <v>561</v>
      </c>
      <c r="F19" s="89">
        <f t="shared" si="8"/>
        <v>0</v>
      </c>
      <c r="G19" s="89"/>
      <c r="H19" s="90"/>
      <c r="I19" s="89">
        <f t="shared" si="4"/>
        <v>0</v>
      </c>
      <c r="J19" s="89"/>
      <c r="K19" s="89">
        <f t="shared" si="9"/>
        <v>0</v>
      </c>
      <c r="L19" s="31" t="s">
        <v>11</v>
      </c>
      <c r="N19" s="4"/>
    </row>
    <row r="20" spans="1:14" ht="14.25" x14ac:dyDescent="0.25">
      <c r="A20" s="88" t="str">
        <f>IF(TRIM(E20)&lt;&gt;"",COUNTA($E$10:E20)&amp;"","")</f>
        <v>11</v>
      </c>
      <c r="B20" s="19" t="s">
        <v>90</v>
      </c>
      <c r="C20" s="20" t="s">
        <v>1</v>
      </c>
      <c r="D20" s="21"/>
      <c r="E20" s="22">
        <f>E17</f>
        <v>112.11379999999998</v>
      </c>
      <c r="F20" s="85">
        <f t="shared" ref="F17:F22" si="10">G20+H20</f>
        <v>0</v>
      </c>
      <c r="G20" s="86"/>
      <c r="H20" s="85"/>
      <c r="I20" s="85">
        <f t="shared" ref="I20:I22" si="11">J20+K20</f>
        <v>0</v>
      </c>
      <c r="J20" s="85">
        <f>G20*E20</f>
        <v>0</v>
      </c>
      <c r="K20" s="85"/>
      <c r="L20" s="23"/>
      <c r="N20" s="4"/>
    </row>
    <row r="21" spans="1:14" ht="25.5" x14ac:dyDescent="0.25">
      <c r="A21" s="24" t="str">
        <f>IF(TRIM(E21)&lt;&gt;"",COUNTA($E$10:E21)&amp;"","")</f>
        <v>12</v>
      </c>
      <c r="B21" s="30" t="s">
        <v>21</v>
      </c>
      <c r="C21" s="26" t="s">
        <v>22</v>
      </c>
      <c r="D21" s="35">
        <v>1.0149999999999999</v>
      </c>
      <c r="E21" s="28">
        <f>E20*0.02*D21</f>
        <v>2.2759101399999997</v>
      </c>
      <c r="F21" s="89">
        <f t="shared" si="10"/>
        <v>0</v>
      </c>
      <c r="G21" s="89"/>
      <c r="H21" s="90"/>
      <c r="I21" s="89">
        <f t="shared" si="11"/>
        <v>0</v>
      </c>
      <c r="J21" s="89"/>
      <c r="K21" s="89">
        <f t="shared" ref="K21:K22" si="12">H21*E21</f>
        <v>0</v>
      </c>
      <c r="L21" s="29" t="s">
        <v>11</v>
      </c>
      <c r="N21" s="4"/>
    </row>
    <row r="22" spans="1:14" ht="25.5" x14ac:dyDescent="0.25">
      <c r="A22" s="24" t="str">
        <f>IF(TRIM(E22)&lt;&gt;"",COUNTA($E$10:E22)&amp;"","")</f>
        <v>13</v>
      </c>
      <c r="B22" s="25" t="s">
        <v>91</v>
      </c>
      <c r="C22" s="26" t="s">
        <v>1</v>
      </c>
      <c r="D22" s="27">
        <v>1.2</v>
      </c>
      <c r="E22" s="28">
        <f>E20*D22</f>
        <v>134.53655999999998</v>
      </c>
      <c r="F22" s="89">
        <f t="shared" si="10"/>
        <v>0</v>
      </c>
      <c r="G22" s="89"/>
      <c r="H22" s="90"/>
      <c r="I22" s="89">
        <f t="shared" si="11"/>
        <v>0</v>
      </c>
      <c r="J22" s="89"/>
      <c r="K22" s="89">
        <f t="shared" si="12"/>
        <v>0</v>
      </c>
      <c r="L22" s="29" t="s">
        <v>11</v>
      </c>
      <c r="N22" s="4"/>
    </row>
    <row r="23" spans="1:14" ht="14.25" x14ac:dyDescent="0.25">
      <c r="A23" s="88" t="str">
        <f>IF(TRIM(E23)&lt;&gt;"",COUNTA($E$10:E23)&amp;"","")</f>
        <v>14</v>
      </c>
      <c r="B23" s="19" t="s">
        <v>51</v>
      </c>
      <c r="C23" s="20" t="s">
        <v>1</v>
      </c>
      <c r="D23" s="21"/>
      <c r="E23" s="22">
        <f>E15</f>
        <v>519.92000000000007</v>
      </c>
      <c r="F23" s="85">
        <f t="shared" ref="F22:F24" si="13">G23+H23</f>
        <v>0</v>
      </c>
      <c r="G23" s="86"/>
      <c r="H23" s="85"/>
      <c r="I23" s="85">
        <f t="shared" ref="I22:I24" si="14">J23+K23</f>
        <v>0</v>
      </c>
      <c r="J23" s="85">
        <f>G23*E23</f>
        <v>0</v>
      </c>
      <c r="K23" s="85"/>
      <c r="L23" s="23"/>
      <c r="N23" s="4"/>
    </row>
    <row r="24" spans="1:14" ht="25.5" x14ac:dyDescent="0.25">
      <c r="A24" s="24" t="str">
        <f>IF(TRIM(E24)&lt;&gt;"",COUNTA($E$10:E24)&amp;"","")</f>
        <v>15</v>
      </c>
      <c r="B24" s="30" t="s">
        <v>72</v>
      </c>
      <c r="C24" s="26" t="s">
        <v>1</v>
      </c>
      <c r="D24" s="27">
        <v>1.1499999999999999</v>
      </c>
      <c r="E24" s="28">
        <f>E23*D24</f>
        <v>597.90800000000002</v>
      </c>
      <c r="F24" s="89">
        <f t="shared" si="13"/>
        <v>0</v>
      </c>
      <c r="G24" s="89"/>
      <c r="H24" s="90"/>
      <c r="I24" s="89">
        <f t="shared" si="14"/>
        <v>0</v>
      </c>
      <c r="J24" s="89"/>
      <c r="K24" s="89">
        <f t="shared" ref="K24" si="15">H24*E24</f>
        <v>0</v>
      </c>
      <c r="L24" s="31" t="s">
        <v>11</v>
      </c>
      <c r="N24" s="4"/>
    </row>
    <row r="25" spans="1:14" ht="38.25" x14ac:dyDescent="0.25">
      <c r="A25" s="88" t="str">
        <f>IF(TRIM(E25)&lt;&gt;"",COUNTA($E$10:E25)&amp;"","")</f>
        <v>16</v>
      </c>
      <c r="B25" s="19" t="s">
        <v>131</v>
      </c>
      <c r="C25" s="20" t="s">
        <v>1</v>
      </c>
      <c r="D25" s="21"/>
      <c r="E25" s="22">
        <f>Расчет!E4+Расчет!E5</f>
        <v>519.92000000000007</v>
      </c>
      <c r="F25" s="85">
        <f t="shared" si="8"/>
        <v>0</v>
      </c>
      <c r="G25" s="86"/>
      <c r="H25" s="85"/>
      <c r="I25" s="85">
        <f t="shared" si="4"/>
        <v>0</v>
      </c>
      <c r="J25" s="85">
        <f>G25*E25</f>
        <v>0</v>
      </c>
      <c r="K25" s="85"/>
      <c r="L25" s="23"/>
      <c r="M25" s="5"/>
      <c r="N25" s="4"/>
    </row>
    <row r="26" spans="1:14" ht="25.5" x14ac:dyDescent="0.25">
      <c r="A26" s="24" t="str">
        <f>IF(TRIM(E26)&lt;&gt;"",COUNTA($E$10:E26)&amp;"","")</f>
        <v>17</v>
      </c>
      <c r="B26" s="25" t="s">
        <v>21</v>
      </c>
      <c r="C26" s="26" t="s">
        <v>22</v>
      </c>
      <c r="D26" s="35">
        <v>1.0149999999999999</v>
      </c>
      <c r="E26" s="28">
        <f>(Расчет!L9-Расчет!K9)*D26</f>
        <v>73.153756666666865</v>
      </c>
      <c r="F26" s="89">
        <f t="shared" si="8"/>
        <v>0</v>
      </c>
      <c r="G26" s="89"/>
      <c r="H26" s="90"/>
      <c r="I26" s="89">
        <f t="shared" si="4"/>
        <v>0</v>
      </c>
      <c r="J26" s="89"/>
      <c r="K26" s="89">
        <f t="shared" ref="K26:K27" si="16">H26*E26</f>
        <v>0</v>
      </c>
      <c r="L26" s="31" t="s">
        <v>11</v>
      </c>
      <c r="N26" s="4"/>
    </row>
    <row r="27" spans="1:14" ht="25.5" x14ac:dyDescent="0.25">
      <c r="A27" s="24" t="str">
        <f>IF(TRIM(E27)&lt;&gt;"",COUNTA($E$10:E27)&amp;"","")</f>
        <v>18</v>
      </c>
      <c r="B27" s="25" t="s">
        <v>73</v>
      </c>
      <c r="C27" s="26" t="s">
        <v>1</v>
      </c>
      <c r="D27" s="27">
        <v>1.2</v>
      </c>
      <c r="E27" s="28">
        <f>E25*D27</f>
        <v>623.90400000000011</v>
      </c>
      <c r="F27" s="89">
        <f t="shared" si="8"/>
        <v>0</v>
      </c>
      <c r="G27" s="89"/>
      <c r="H27" s="90"/>
      <c r="I27" s="89">
        <f t="shared" si="4"/>
        <v>0</v>
      </c>
      <c r="J27" s="89"/>
      <c r="K27" s="89">
        <f t="shared" si="16"/>
        <v>0</v>
      </c>
      <c r="L27" s="29" t="s">
        <v>11</v>
      </c>
      <c r="N27" s="4"/>
    </row>
    <row r="28" spans="1:14" ht="38.25" x14ac:dyDescent="0.25">
      <c r="A28" s="88" t="str">
        <f>IF(TRIM(E28)&lt;&gt;"",COUNTA($E$10:E28)&amp;"","")</f>
        <v>19</v>
      </c>
      <c r="B28" s="19" t="s">
        <v>24</v>
      </c>
      <c r="C28" s="20" t="s">
        <v>23</v>
      </c>
      <c r="D28" s="21"/>
      <c r="E28" s="22">
        <f>Расчет!F8</f>
        <v>238.54</v>
      </c>
      <c r="F28" s="85">
        <f t="shared" ref="F25:F51" si="17">G28+H28</f>
        <v>0</v>
      </c>
      <c r="G28" s="86"/>
      <c r="H28" s="85"/>
      <c r="I28" s="85">
        <f t="shared" ref="I25:I51" si="18">J28+K28</f>
        <v>0</v>
      </c>
      <c r="J28" s="85">
        <f>G28*E28</f>
        <v>0</v>
      </c>
      <c r="K28" s="85"/>
      <c r="L28" s="23"/>
      <c r="N28" s="4"/>
    </row>
    <row r="29" spans="1:14" ht="25.5" x14ac:dyDescent="0.25">
      <c r="A29" s="24" t="str">
        <f>IF(TRIM(E29)&lt;&gt;"",COUNTA($E$10:E29)&amp;"","")</f>
        <v>20</v>
      </c>
      <c r="B29" s="25" t="s">
        <v>21</v>
      </c>
      <c r="C29" s="26" t="s">
        <v>22</v>
      </c>
      <c r="D29" s="35">
        <v>5.0000000000000001E-3</v>
      </c>
      <c r="E29" s="28">
        <f>D29*E28</f>
        <v>1.1927000000000001</v>
      </c>
      <c r="F29" s="89">
        <f t="shared" si="17"/>
        <v>0</v>
      </c>
      <c r="G29" s="89"/>
      <c r="H29" s="90"/>
      <c r="I29" s="89">
        <f t="shared" si="18"/>
        <v>0</v>
      </c>
      <c r="J29" s="89"/>
      <c r="K29" s="89">
        <f t="shared" ref="K29" si="19">H29*E29</f>
        <v>0</v>
      </c>
      <c r="L29" s="31" t="s">
        <v>11</v>
      </c>
      <c r="N29" s="4"/>
    </row>
    <row r="30" spans="1:14" ht="25.5" x14ac:dyDescent="0.25">
      <c r="A30" s="88" t="str">
        <f>IF(TRIM(E30)&lt;&gt;"",COUNTA($E$10:E30)&amp;"","")</f>
        <v>21</v>
      </c>
      <c r="B30" s="19" t="s">
        <v>50</v>
      </c>
      <c r="C30" s="20" t="s">
        <v>1</v>
      </c>
      <c r="D30" s="21"/>
      <c r="E30" s="22">
        <f>E10</f>
        <v>603.40900000000011</v>
      </c>
      <c r="F30" s="85">
        <f t="shared" si="17"/>
        <v>0</v>
      </c>
      <c r="G30" s="86"/>
      <c r="H30" s="85"/>
      <c r="I30" s="85">
        <f t="shared" si="18"/>
        <v>0</v>
      </c>
      <c r="J30" s="85">
        <f>G30*E30</f>
        <v>0</v>
      </c>
      <c r="K30" s="85"/>
      <c r="L30" s="23"/>
      <c r="N30" s="4"/>
    </row>
    <row r="31" spans="1:14" ht="25.5" x14ac:dyDescent="0.25">
      <c r="A31" s="24" t="str">
        <f>IF(TRIM(E31)&lt;&gt;"",COUNTA($E$10:E31)&amp;"","")</f>
        <v>22</v>
      </c>
      <c r="B31" s="25" t="s">
        <v>74</v>
      </c>
      <c r="C31" s="26" t="s">
        <v>20</v>
      </c>
      <c r="D31" s="27">
        <v>0.35</v>
      </c>
      <c r="E31" s="28">
        <f>E30*D31</f>
        <v>211.19315000000003</v>
      </c>
      <c r="F31" s="89">
        <f t="shared" si="17"/>
        <v>0</v>
      </c>
      <c r="G31" s="89"/>
      <c r="H31" s="90"/>
      <c r="I31" s="89">
        <f t="shared" si="18"/>
        <v>0</v>
      </c>
      <c r="J31" s="89"/>
      <c r="K31" s="89">
        <f t="shared" ref="K31" si="20">H31*E31</f>
        <v>0</v>
      </c>
      <c r="L31" s="29" t="s">
        <v>11</v>
      </c>
      <c r="N31" s="4"/>
    </row>
    <row r="32" spans="1:14" ht="14.25" x14ac:dyDescent="0.25">
      <c r="A32" s="88" t="str">
        <f>IF(TRIM(E32)&lt;&gt;"",COUNTA($E$10:E32)&amp;"","")</f>
        <v>23</v>
      </c>
      <c r="B32" s="19" t="s">
        <v>48</v>
      </c>
      <c r="C32" s="20" t="s">
        <v>1</v>
      </c>
      <c r="D32" s="21"/>
      <c r="E32" s="22">
        <f>Расчет!E4+Расчет!E5</f>
        <v>519.92000000000007</v>
      </c>
      <c r="F32" s="85">
        <f t="shared" si="17"/>
        <v>0</v>
      </c>
      <c r="G32" s="86"/>
      <c r="H32" s="85"/>
      <c r="I32" s="85">
        <f t="shared" si="18"/>
        <v>0</v>
      </c>
      <c r="J32" s="85">
        <f>G32*E32</f>
        <v>0</v>
      </c>
      <c r="K32" s="85"/>
      <c r="L32" s="23"/>
      <c r="N32" s="4"/>
    </row>
    <row r="33" spans="1:14" ht="25.5" x14ac:dyDescent="0.25">
      <c r="A33" s="24" t="str">
        <f>IF(TRIM(E33)&lt;&gt;"",COUNTA($E$10:E33)&amp;"","")</f>
        <v>24</v>
      </c>
      <c r="B33" s="25" t="s">
        <v>76</v>
      </c>
      <c r="C33" s="26" t="s">
        <v>1</v>
      </c>
      <c r="D33" s="27">
        <v>1.1399999999999999</v>
      </c>
      <c r="E33" s="28">
        <f>E32*D33</f>
        <v>592.7088</v>
      </c>
      <c r="F33" s="89">
        <f t="shared" si="17"/>
        <v>0</v>
      </c>
      <c r="G33" s="89"/>
      <c r="H33" s="90"/>
      <c r="I33" s="89">
        <f t="shared" si="18"/>
        <v>0</v>
      </c>
      <c r="J33" s="89"/>
      <c r="K33" s="89">
        <f t="shared" ref="K33:K35" si="21">H33*E33</f>
        <v>0</v>
      </c>
      <c r="L33" s="29" t="s">
        <v>11</v>
      </c>
      <c r="N33" s="4"/>
    </row>
    <row r="34" spans="1:14" ht="25.5" x14ac:dyDescent="0.25">
      <c r="A34" s="24" t="str">
        <f>IF(TRIM(E34)&lt;&gt;"",COUNTA($E$10:E34)&amp;"","")</f>
        <v>25</v>
      </c>
      <c r="B34" s="25" t="s">
        <v>116</v>
      </c>
      <c r="C34" s="26" t="s">
        <v>1</v>
      </c>
      <c r="D34" s="27">
        <v>1.1599999999999999</v>
      </c>
      <c r="E34" s="28">
        <f>E32*D34</f>
        <v>603.10720000000003</v>
      </c>
      <c r="F34" s="89">
        <f t="shared" si="17"/>
        <v>0</v>
      </c>
      <c r="G34" s="89"/>
      <c r="H34" s="90"/>
      <c r="I34" s="89">
        <f t="shared" si="18"/>
        <v>0</v>
      </c>
      <c r="J34" s="89"/>
      <c r="K34" s="89">
        <f t="shared" si="21"/>
        <v>0</v>
      </c>
      <c r="L34" s="29" t="s">
        <v>11</v>
      </c>
      <c r="N34" s="4"/>
    </row>
    <row r="35" spans="1:14" ht="25.5" x14ac:dyDescent="0.25">
      <c r="A35" s="24" t="str">
        <f>IF(TRIM(E35)&lt;&gt;"",COUNTA($E$10:E35)&amp;"","")</f>
        <v>26</v>
      </c>
      <c r="B35" s="25" t="s">
        <v>115</v>
      </c>
      <c r="C35" s="33" t="s">
        <v>3</v>
      </c>
      <c r="D35" s="34">
        <v>0.6</v>
      </c>
      <c r="E35" s="28">
        <f>E32*D35</f>
        <v>311.95200000000006</v>
      </c>
      <c r="F35" s="89">
        <f t="shared" si="17"/>
        <v>0</v>
      </c>
      <c r="G35" s="89"/>
      <c r="H35" s="90"/>
      <c r="I35" s="89">
        <f t="shared" si="18"/>
        <v>0</v>
      </c>
      <c r="J35" s="89"/>
      <c r="K35" s="89">
        <f t="shared" si="21"/>
        <v>0</v>
      </c>
      <c r="L35" s="29" t="s">
        <v>11</v>
      </c>
      <c r="N35" s="4"/>
    </row>
    <row r="36" spans="1:14" ht="25.5" x14ac:dyDescent="0.25">
      <c r="A36" s="88" t="str">
        <f>IF(TRIM(E36)&lt;&gt;"",COUNTA($E$10:E36)&amp;"","")</f>
        <v>27</v>
      </c>
      <c r="B36" s="19" t="s">
        <v>117</v>
      </c>
      <c r="C36" s="20" t="s">
        <v>23</v>
      </c>
      <c r="D36" s="21"/>
      <c r="E36" s="22">
        <f>E28</f>
        <v>238.54</v>
      </c>
      <c r="F36" s="85">
        <f t="shared" si="17"/>
        <v>0</v>
      </c>
      <c r="G36" s="86"/>
      <c r="H36" s="85"/>
      <c r="I36" s="85">
        <f t="shared" si="18"/>
        <v>0</v>
      </c>
      <c r="J36" s="85">
        <f>G36*E36</f>
        <v>0</v>
      </c>
      <c r="K36" s="85"/>
      <c r="L36" s="23"/>
      <c r="N36" s="4"/>
    </row>
    <row r="37" spans="1:14" ht="25.5" x14ac:dyDescent="0.25">
      <c r="A37" s="24" t="str">
        <f>IF(TRIM(E37)&lt;&gt;"",COUNTA($E$10:E37)&amp;"","")</f>
        <v>28</v>
      </c>
      <c r="B37" s="25" t="s">
        <v>76</v>
      </c>
      <c r="C37" s="26" t="s">
        <v>1</v>
      </c>
      <c r="D37" s="27">
        <v>1.1399999999999999</v>
      </c>
      <c r="E37" s="28">
        <f>E36*0.6*D37</f>
        <v>163.16135999999997</v>
      </c>
      <c r="F37" s="89">
        <f t="shared" si="17"/>
        <v>0</v>
      </c>
      <c r="G37" s="89"/>
      <c r="H37" s="90"/>
      <c r="I37" s="89">
        <f t="shared" si="18"/>
        <v>0</v>
      </c>
      <c r="J37" s="89"/>
      <c r="K37" s="89">
        <f t="shared" ref="K37:K42" si="22">H37*E37</f>
        <v>0</v>
      </c>
      <c r="L37" s="31" t="s">
        <v>11</v>
      </c>
      <c r="N37" s="4"/>
    </row>
    <row r="38" spans="1:14" ht="25.5" x14ac:dyDescent="0.25">
      <c r="A38" s="24" t="str">
        <f>IF(TRIM(E38)&lt;&gt;"",COUNTA($E$10:E38)&amp;"","")</f>
        <v>29</v>
      </c>
      <c r="B38" s="25" t="s">
        <v>116</v>
      </c>
      <c r="C38" s="26" t="s">
        <v>1</v>
      </c>
      <c r="D38" s="27">
        <v>1.1599999999999999</v>
      </c>
      <c r="E38" s="28">
        <f>E36*0.6*D38</f>
        <v>166.02383999999998</v>
      </c>
      <c r="F38" s="89">
        <f t="shared" si="17"/>
        <v>0</v>
      </c>
      <c r="G38" s="89"/>
      <c r="H38" s="90"/>
      <c r="I38" s="89">
        <f t="shared" si="18"/>
        <v>0</v>
      </c>
      <c r="J38" s="89"/>
      <c r="K38" s="89">
        <f t="shared" si="22"/>
        <v>0</v>
      </c>
      <c r="L38" s="31" t="s">
        <v>11</v>
      </c>
      <c r="N38" s="4"/>
    </row>
    <row r="39" spans="1:14" ht="25.5" x14ac:dyDescent="0.25">
      <c r="A39" s="24" t="str">
        <f>IF(TRIM(E39)&lt;&gt;"",COUNTA($E$10:E39)&amp;"","")</f>
        <v>30</v>
      </c>
      <c r="B39" s="25" t="s">
        <v>115</v>
      </c>
      <c r="C39" s="33" t="s">
        <v>3</v>
      </c>
      <c r="D39" s="27">
        <v>0.6</v>
      </c>
      <c r="E39" s="28">
        <f>E36*D39</f>
        <v>143.124</v>
      </c>
      <c r="F39" s="89">
        <f t="shared" si="17"/>
        <v>0</v>
      </c>
      <c r="G39" s="89"/>
      <c r="H39" s="90"/>
      <c r="I39" s="89">
        <f t="shared" si="18"/>
        <v>0</v>
      </c>
      <c r="J39" s="89"/>
      <c r="K39" s="89">
        <f t="shared" si="22"/>
        <v>0</v>
      </c>
      <c r="L39" s="31" t="s">
        <v>11</v>
      </c>
      <c r="N39" s="4"/>
    </row>
    <row r="40" spans="1:14" ht="25.5" x14ac:dyDescent="0.25">
      <c r="A40" s="24" t="str">
        <f>IF(TRIM(E40)&lt;&gt;"",COUNTA($E$10:E40)&amp;"","")</f>
        <v>31</v>
      </c>
      <c r="B40" s="25" t="s">
        <v>33</v>
      </c>
      <c r="C40" s="36" t="s">
        <v>2</v>
      </c>
      <c r="D40" s="27">
        <v>1.03</v>
      </c>
      <c r="E40" s="28">
        <f>E36*D40</f>
        <v>245.6962</v>
      </c>
      <c r="F40" s="89">
        <f t="shared" si="17"/>
        <v>0</v>
      </c>
      <c r="G40" s="89"/>
      <c r="H40" s="90"/>
      <c r="I40" s="89">
        <f t="shared" si="18"/>
        <v>0</v>
      </c>
      <c r="J40" s="89"/>
      <c r="K40" s="89">
        <f t="shared" si="22"/>
        <v>0</v>
      </c>
      <c r="L40" s="31" t="s">
        <v>11</v>
      </c>
      <c r="N40" s="4"/>
    </row>
    <row r="41" spans="1:14" ht="25.5" x14ac:dyDescent="0.25">
      <c r="A41" s="24" t="str">
        <f>IF(TRIM(E41)&lt;&gt;"",COUNTA($E$10:E41)&amp;"","")</f>
        <v>32</v>
      </c>
      <c r="B41" s="25" t="s">
        <v>25</v>
      </c>
      <c r="C41" s="33" t="s">
        <v>0</v>
      </c>
      <c r="D41" s="27">
        <v>5</v>
      </c>
      <c r="E41" s="28">
        <f>ROUNDUP(E40*D41,0)</f>
        <v>1229</v>
      </c>
      <c r="F41" s="89">
        <f t="shared" si="17"/>
        <v>0</v>
      </c>
      <c r="G41" s="89"/>
      <c r="H41" s="90"/>
      <c r="I41" s="89">
        <f t="shared" si="18"/>
        <v>0</v>
      </c>
      <c r="J41" s="89"/>
      <c r="K41" s="89">
        <f t="shared" si="22"/>
        <v>0</v>
      </c>
      <c r="L41" s="31" t="s">
        <v>11</v>
      </c>
      <c r="N41" s="4"/>
    </row>
    <row r="42" spans="1:14" ht="25.5" x14ac:dyDescent="0.25">
      <c r="A42" s="24" t="str">
        <f>IF(TRIM(E42)&lt;&gt;"",COUNTA($E$10:E42)&amp;"","")</f>
        <v>33</v>
      </c>
      <c r="B42" s="25" t="s">
        <v>57</v>
      </c>
      <c r="C42" s="37" t="s">
        <v>0</v>
      </c>
      <c r="D42" s="27">
        <v>0.15</v>
      </c>
      <c r="E42" s="28">
        <f>ROUNDDOWN(E36*0.15,0)</f>
        <v>35</v>
      </c>
      <c r="F42" s="89">
        <f t="shared" si="17"/>
        <v>0</v>
      </c>
      <c r="G42" s="89"/>
      <c r="H42" s="90"/>
      <c r="I42" s="89">
        <f t="shared" si="18"/>
        <v>0</v>
      </c>
      <c r="J42" s="89"/>
      <c r="K42" s="89">
        <f t="shared" si="22"/>
        <v>0</v>
      </c>
      <c r="L42" s="31" t="s">
        <v>11</v>
      </c>
      <c r="N42" s="4"/>
    </row>
    <row r="43" spans="1:14" ht="14.25" x14ac:dyDescent="0.25">
      <c r="A43" s="88" t="str">
        <f>IF(TRIM(E43)&lt;&gt;"",COUNTA($E$10:E43)&amp;"","")</f>
        <v>34</v>
      </c>
      <c r="B43" s="19" t="s">
        <v>26</v>
      </c>
      <c r="C43" s="20" t="s">
        <v>0</v>
      </c>
      <c r="D43" s="21"/>
      <c r="E43" s="22">
        <v>4</v>
      </c>
      <c r="F43" s="85">
        <f t="shared" si="17"/>
        <v>0</v>
      </c>
      <c r="G43" s="86"/>
      <c r="H43" s="85"/>
      <c r="I43" s="85">
        <f t="shared" si="18"/>
        <v>0</v>
      </c>
      <c r="J43" s="85">
        <f>G43*E43</f>
        <v>0</v>
      </c>
      <c r="K43" s="85"/>
      <c r="L43" s="23"/>
      <c r="N43" s="4"/>
    </row>
    <row r="44" spans="1:14" ht="38.25" x14ac:dyDescent="0.25">
      <c r="A44" s="24" t="str">
        <f>IF(TRIM(E44)&lt;&gt;"",COUNTA($E$10:E44)&amp;"","")</f>
        <v>35</v>
      </c>
      <c r="B44" s="25" t="s">
        <v>118</v>
      </c>
      <c r="C44" s="26" t="s">
        <v>0</v>
      </c>
      <c r="D44" s="27">
        <v>1</v>
      </c>
      <c r="E44" s="28">
        <f>E43</f>
        <v>4</v>
      </c>
      <c r="F44" s="89">
        <f t="shared" si="17"/>
        <v>0</v>
      </c>
      <c r="G44" s="89"/>
      <c r="H44" s="90"/>
      <c r="I44" s="89">
        <f t="shared" si="18"/>
        <v>0</v>
      </c>
      <c r="J44" s="89"/>
      <c r="K44" s="89">
        <f t="shared" ref="K44" si="23">H44*E44</f>
        <v>0</v>
      </c>
      <c r="L44" s="31" t="s">
        <v>11</v>
      </c>
      <c r="N44" s="4"/>
    </row>
    <row r="45" spans="1:14" ht="14.25" x14ac:dyDescent="0.25">
      <c r="A45" s="88" t="str">
        <f>IF(TRIM(E45)&lt;&gt;"",COUNTA($E$10:E45)&amp;"","")</f>
        <v>36</v>
      </c>
      <c r="B45" s="19" t="s">
        <v>46</v>
      </c>
      <c r="C45" s="20" t="s">
        <v>0</v>
      </c>
      <c r="D45" s="21"/>
      <c r="E45" s="22">
        <v>2</v>
      </c>
      <c r="F45" s="85">
        <f t="shared" si="17"/>
        <v>0</v>
      </c>
      <c r="G45" s="86"/>
      <c r="H45" s="85"/>
      <c r="I45" s="85">
        <f t="shared" si="18"/>
        <v>0</v>
      </c>
      <c r="J45" s="85">
        <f>G45*E45</f>
        <v>0</v>
      </c>
      <c r="K45" s="85"/>
      <c r="L45" s="23"/>
      <c r="N45" s="4"/>
    </row>
    <row r="46" spans="1:14" ht="25.5" x14ac:dyDescent="0.25">
      <c r="A46" s="24" t="str">
        <f>IF(TRIM(E46)&lt;&gt;"",COUNTA($E$10:E46)&amp;"","")</f>
        <v>37</v>
      </c>
      <c r="B46" s="25" t="s">
        <v>77</v>
      </c>
      <c r="C46" s="26" t="s">
        <v>0</v>
      </c>
      <c r="D46" s="27">
        <v>1</v>
      </c>
      <c r="E46" s="28">
        <f>E45</f>
        <v>2</v>
      </c>
      <c r="F46" s="89">
        <f t="shared" si="17"/>
        <v>0</v>
      </c>
      <c r="G46" s="89"/>
      <c r="H46" s="90"/>
      <c r="I46" s="89">
        <f t="shared" si="18"/>
        <v>0</v>
      </c>
      <c r="J46" s="89"/>
      <c r="K46" s="89">
        <f t="shared" ref="K46" si="24">H46*E46</f>
        <v>0</v>
      </c>
      <c r="L46" s="31" t="s">
        <v>11</v>
      </c>
      <c r="N46" s="4"/>
    </row>
    <row r="47" spans="1:14" ht="14.25" x14ac:dyDescent="0.25">
      <c r="A47" s="88" t="str">
        <f>IF(TRIM(E47)&lt;&gt;"",COUNTA($E$10:E47)&amp;"","")</f>
        <v>38</v>
      </c>
      <c r="B47" s="19" t="s">
        <v>44</v>
      </c>
      <c r="C47" s="20" t="s">
        <v>0</v>
      </c>
      <c r="D47" s="21"/>
      <c r="E47" s="22">
        <f>4+4</f>
        <v>8</v>
      </c>
      <c r="F47" s="85">
        <f t="shared" si="17"/>
        <v>0</v>
      </c>
      <c r="G47" s="86"/>
      <c r="H47" s="85"/>
      <c r="I47" s="85">
        <f t="shared" si="18"/>
        <v>0</v>
      </c>
      <c r="J47" s="85">
        <f>G47*E47</f>
        <v>0</v>
      </c>
      <c r="K47" s="85"/>
      <c r="L47" s="23"/>
      <c r="N47" s="4"/>
    </row>
    <row r="48" spans="1:14" ht="25.5" x14ac:dyDescent="0.25">
      <c r="A48" s="24" t="str">
        <f>IF(TRIM(E48)&lt;&gt;"",COUNTA($E$10:E48)&amp;"","")</f>
        <v>39</v>
      </c>
      <c r="B48" s="25" t="s">
        <v>54</v>
      </c>
      <c r="C48" s="26" t="s">
        <v>0</v>
      </c>
      <c r="D48" s="27">
        <v>1</v>
      </c>
      <c r="E48" s="28">
        <f>E47*D48</f>
        <v>8</v>
      </c>
      <c r="F48" s="89">
        <f t="shared" si="17"/>
        <v>0</v>
      </c>
      <c r="G48" s="89"/>
      <c r="H48" s="90"/>
      <c r="I48" s="89">
        <f t="shared" si="18"/>
        <v>0</v>
      </c>
      <c r="J48" s="89"/>
      <c r="K48" s="89">
        <f t="shared" ref="K48" si="25">H48*E48</f>
        <v>0</v>
      </c>
      <c r="L48" s="31" t="s">
        <v>11</v>
      </c>
      <c r="N48" s="4"/>
    </row>
    <row r="49" spans="1:14" ht="14.25" x14ac:dyDescent="0.25">
      <c r="A49" s="88" t="str">
        <f>IF(TRIM(E49)&lt;&gt;"",COUNTA($E$10:E49)&amp;"","")</f>
        <v>40</v>
      </c>
      <c r="B49" s="19" t="s">
        <v>52</v>
      </c>
      <c r="C49" s="20" t="s">
        <v>0</v>
      </c>
      <c r="D49" s="21"/>
      <c r="E49" s="22">
        <v>9</v>
      </c>
      <c r="F49" s="85">
        <f t="shared" si="17"/>
        <v>0</v>
      </c>
      <c r="G49" s="86"/>
      <c r="H49" s="85"/>
      <c r="I49" s="85">
        <f t="shared" si="18"/>
        <v>0</v>
      </c>
      <c r="J49" s="85">
        <f>G49*E49</f>
        <v>0</v>
      </c>
      <c r="K49" s="85"/>
      <c r="L49" s="23"/>
      <c r="N49" s="4"/>
    </row>
    <row r="50" spans="1:14" ht="25.5" x14ac:dyDescent="0.25">
      <c r="A50" s="24" t="str">
        <f>IF(TRIM(E50)&lt;&gt;"",COUNTA($E$10:E50)&amp;"","")</f>
        <v>41</v>
      </c>
      <c r="B50" s="32" t="s">
        <v>49</v>
      </c>
      <c r="C50" s="26" t="s">
        <v>0</v>
      </c>
      <c r="D50" s="27">
        <v>0.15</v>
      </c>
      <c r="E50" s="28">
        <f>ROUNDUP(D50*E49,0)</f>
        <v>2</v>
      </c>
      <c r="F50" s="89">
        <f t="shared" si="17"/>
        <v>0</v>
      </c>
      <c r="G50" s="89"/>
      <c r="H50" s="90"/>
      <c r="I50" s="89">
        <f t="shared" si="18"/>
        <v>0</v>
      </c>
      <c r="J50" s="89"/>
      <c r="K50" s="89">
        <f t="shared" ref="K50:K51" si="26">H50*E50</f>
        <v>0</v>
      </c>
      <c r="L50" s="31" t="s">
        <v>11</v>
      </c>
      <c r="N50" s="4"/>
    </row>
    <row r="51" spans="1:14" ht="25.5" x14ac:dyDescent="0.25">
      <c r="A51" s="24" t="str">
        <f>IF(TRIM(E51)&lt;&gt;"",COUNTA($E$10:E51)&amp;"","")</f>
        <v>42</v>
      </c>
      <c r="B51" s="25" t="s">
        <v>55</v>
      </c>
      <c r="C51" s="26" t="s">
        <v>0</v>
      </c>
      <c r="D51" s="27">
        <v>1</v>
      </c>
      <c r="E51" s="28">
        <f>E49*D51</f>
        <v>9</v>
      </c>
      <c r="F51" s="89">
        <f t="shared" si="17"/>
        <v>0</v>
      </c>
      <c r="G51" s="89"/>
      <c r="H51" s="90"/>
      <c r="I51" s="89">
        <f t="shared" si="18"/>
        <v>0</v>
      </c>
      <c r="J51" s="89"/>
      <c r="K51" s="89">
        <f t="shared" si="26"/>
        <v>0</v>
      </c>
      <c r="L51" s="31" t="s">
        <v>11</v>
      </c>
      <c r="N51" s="4"/>
    </row>
    <row r="52" spans="1:14" ht="14.25" x14ac:dyDescent="0.25">
      <c r="A52" s="88" t="str">
        <f>IF(TRIM(E52)&lt;&gt;"",COUNTA($E$10:E52)&amp;"","")</f>
        <v>43</v>
      </c>
      <c r="B52" s="19" t="s">
        <v>56</v>
      </c>
      <c r="C52" s="20" t="s">
        <v>0</v>
      </c>
      <c r="D52" s="21"/>
      <c r="E52" s="22">
        <v>2</v>
      </c>
      <c r="F52" s="85">
        <f t="shared" ref="F51:F89" si="27">G52+H52</f>
        <v>0</v>
      </c>
      <c r="G52" s="86"/>
      <c r="H52" s="85"/>
      <c r="I52" s="85">
        <f t="shared" ref="I52:I56" si="28">J52+K52</f>
        <v>0</v>
      </c>
      <c r="J52" s="85">
        <f>G52*E52</f>
        <v>0</v>
      </c>
      <c r="K52" s="85"/>
      <c r="L52" s="23"/>
      <c r="N52" s="4"/>
    </row>
    <row r="53" spans="1:14" ht="25.5" x14ac:dyDescent="0.25">
      <c r="A53" s="24" t="str">
        <f>IF(TRIM(E53)&lt;&gt;"",COUNTA($E$10:E53)&amp;"","")</f>
        <v>44</v>
      </c>
      <c r="B53" s="25" t="s">
        <v>78</v>
      </c>
      <c r="C53" s="26" t="s">
        <v>0</v>
      </c>
      <c r="D53" s="27">
        <v>1</v>
      </c>
      <c r="E53" s="28">
        <f>D53*E52</f>
        <v>2</v>
      </c>
      <c r="F53" s="89">
        <f t="shared" si="27"/>
        <v>0</v>
      </c>
      <c r="G53" s="89"/>
      <c r="H53" s="90"/>
      <c r="I53" s="89">
        <f t="shared" si="28"/>
        <v>0</v>
      </c>
      <c r="J53" s="89"/>
      <c r="K53" s="89">
        <f t="shared" ref="K53:K56" si="29">H53*E53</f>
        <v>0</v>
      </c>
      <c r="L53" s="31" t="s">
        <v>11</v>
      </c>
      <c r="N53" s="4"/>
    </row>
    <row r="54" spans="1:14" ht="25.5" x14ac:dyDescent="0.25">
      <c r="A54" s="24" t="str">
        <f>IF(TRIM(E54)&lt;&gt;"",COUNTA($E$10:E54)&amp;"","")</f>
        <v>45</v>
      </c>
      <c r="B54" s="25" t="s">
        <v>119</v>
      </c>
      <c r="C54" s="26" t="s">
        <v>0</v>
      </c>
      <c r="D54" s="27">
        <v>1</v>
      </c>
      <c r="E54" s="28">
        <f>D54*E52</f>
        <v>2</v>
      </c>
      <c r="F54" s="89">
        <f t="shared" si="27"/>
        <v>0</v>
      </c>
      <c r="G54" s="89"/>
      <c r="H54" s="90"/>
      <c r="I54" s="89">
        <f t="shared" si="28"/>
        <v>0</v>
      </c>
      <c r="J54" s="89"/>
      <c r="K54" s="89">
        <f t="shared" si="29"/>
        <v>0</v>
      </c>
      <c r="L54" s="31" t="s">
        <v>11</v>
      </c>
      <c r="N54" s="4"/>
    </row>
    <row r="55" spans="1:14" ht="25.5" x14ac:dyDescent="0.25">
      <c r="A55" s="24" t="str">
        <f>IF(TRIM(E55)&lt;&gt;"",COUNTA($E$10:E55)&amp;"","")</f>
        <v>46</v>
      </c>
      <c r="B55" s="25" t="s">
        <v>79</v>
      </c>
      <c r="C55" s="26" t="s">
        <v>0</v>
      </c>
      <c r="D55" s="27">
        <v>1</v>
      </c>
      <c r="E55" s="28">
        <f>D55*E52</f>
        <v>2</v>
      </c>
      <c r="F55" s="89">
        <f t="shared" si="27"/>
        <v>0</v>
      </c>
      <c r="G55" s="89"/>
      <c r="H55" s="90"/>
      <c r="I55" s="89">
        <f t="shared" si="28"/>
        <v>0</v>
      </c>
      <c r="J55" s="89"/>
      <c r="K55" s="89">
        <f t="shared" si="29"/>
        <v>0</v>
      </c>
      <c r="L55" s="31" t="s">
        <v>11</v>
      </c>
      <c r="N55" s="4"/>
    </row>
    <row r="56" spans="1:14" ht="25.5" x14ac:dyDescent="0.25">
      <c r="A56" s="24" t="str">
        <f>IF(TRIM(E56)&lt;&gt;"",COUNTA($E$10:E56)&amp;"","")</f>
        <v>47</v>
      </c>
      <c r="B56" s="25" t="s">
        <v>27</v>
      </c>
      <c r="C56" s="26" t="s">
        <v>0</v>
      </c>
      <c r="D56" s="27">
        <v>2</v>
      </c>
      <c r="E56" s="28">
        <f>D56*E52</f>
        <v>4</v>
      </c>
      <c r="F56" s="89">
        <f t="shared" si="27"/>
        <v>0</v>
      </c>
      <c r="G56" s="89"/>
      <c r="H56" s="90"/>
      <c r="I56" s="89">
        <f t="shared" si="28"/>
        <v>0</v>
      </c>
      <c r="J56" s="89"/>
      <c r="K56" s="89">
        <f t="shared" si="29"/>
        <v>0</v>
      </c>
      <c r="L56" s="31" t="s">
        <v>11</v>
      </c>
      <c r="N56" s="4"/>
    </row>
    <row r="57" spans="1:14" ht="14.25" x14ac:dyDescent="0.25">
      <c r="A57" s="88" t="str">
        <f>IF(TRIM(E57)&lt;&gt;"",COUNTA($E$10:E57)&amp;"","")</f>
        <v>48</v>
      </c>
      <c r="B57" s="42" t="s">
        <v>144</v>
      </c>
      <c r="C57" s="20" t="s">
        <v>0</v>
      </c>
      <c r="D57" s="38"/>
      <c r="E57" s="22">
        <v>2</v>
      </c>
      <c r="F57" s="85">
        <f t="shared" si="27"/>
        <v>0</v>
      </c>
      <c r="G57" s="86"/>
      <c r="H57" s="85"/>
      <c r="I57" s="85">
        <f t="shared" ref="I57:I69" si="30">J57+K57</f>
        <v>0</v>
      </c>
      <c r="J57" s="85">
        <f>G57*E57</f>
        <v>0</v>
      </c>
      <c r="K57" s="85"/>
      <c r="L57" s="39"/>
      <c r="N57" s="4"/>
    </row>
    <row r="58" spans="1:14" ht="25.5" x14ac:dyDescent="0.25">
      <c r="A58" s="24" t="str">
        <f>IF(TRIM(E58)&lt;&gt;"",COUNTA($E$10:E58)&amp;"","")</f>
        <v>49</v>
      </c>
      <c r="B58" s="32" t="s">
        <v>92</v>
      </c>
      <c r="C58" s="26" t="s">
        <v>3</v>
      </c>
      <c r="D58" s="37">
        <v>1.03</v>
      </c>
      <c r="E58" s="43">
        <f>ROUND((2.863*4.81)*2*D58*E57,2)</f>
        <v>56.74</v>
      </c>
      <c r="F58" s="89">
        <f t="shared" si="27"/>
        <v>0</v>
      </c>
      <c r="G58" s="89"/>
      <c r="H58" s="90"/>
      <c r="I58" s="89">
        <f t="shared" si="30"/>
        <v>0</v>
      </c>
      <c r="J58" s="89"/>
      <c r="K58" s="89">
        <f t="shared" ref="K58:K69" si="31">H58*E58</f>
        <v>0</v>
      </c>
      <c r="L58" s="31" t="s">
        <v>11</v>
      </c>
      <c r="N58" s="4"/>
    </row>
    <row r="59" spans="1:14" ht="25.5" x14ac:dyDescent="0.25">
      <c r="A59" s="24" t="str">
        <f>IF(TRIM(E59)&lt;&gt;"",COUNTA($E$10:E59)&amp;"","")</f>
        <v>50</v>
      </c>
      <c r="B59" s="32" t="s">
        <v>93</v>
      </c>
      <c r="C59" s="26" t="s">
        <v>3</v>
      </c>
      <c r="D59" s="37">
        <v>1.03</v>
      </c>
      <c r="E59" s="44">
        <f>ROUND((0.343*4.81)*2*D59*E57,2)</f>
        <v>6.8</v>
      </c>
      <c r="F59" s="89">
        <f t="shared" si="27"/>
        <v>0</v>
      </c>
      <c r="G59" s="89"/>
      <c r="H59" s="90"/>
      <c r="I59" s="89">
        <f t="shared" si="30"/>
        <v>0</v>
      </c>
      <c r="J59" s="89"/>
      <c r="K59" s="89">
        <f t="shared" si="31"/>
        <v>0</v>
      </c>
      <c r="L59" s="31" t="s">
        <v>11</v>
      </c>
      <c r="N59" s="4"/>
    </row>
    <row r="60" spans="1:14" ht="25.5" x14ac:dyDescent="0.25">
      <c r="A60" s="24" t="str">
        <f>IF(TRIM(E60)&lt;&gt;"",COUNTA($E$10:E60)&amp;"","")</f>
        <v>51</v>
      </c>
      <c r="B60" s="32" t="s">
        <v>94</v>
      </c>
      <c r="C60" s="26" t="s">
        <v>3</v>
      </c>
      <c r="D60" s="37">
        <v>1.03</v>
      </c>
      <c r="E60" s="44">
        <f>ROUND((0.48*4.81)*10*D60*E57,2)</f>
        <v>47.56</v>
      </c>
      <c r="F60" s="89">
        <f t="shared" si="27"/>
        <v>0</v>
      </c>
      <c r="G60" s="89"/>
      <c r="H60" s="90"/>
      <c r="I60" s="89">
        <f t="shared" si="30"/>
        <v>0</v>
      </c>
      <c r="J60" s="89"/>
      <c r="K60" s="89">
        <f t="shared" si="31"/>
        <v>0</v>
      </c>
      <c r="L60" s="31" t="s">
        <v>11</v>
      </c>
      <c r="N60" s="4"/>
    </row>
    <row r="61" spans="1:14" ht="25.5" x14ac:dyDescent="0.25">
      <c r="A61" s="24" t="str">
        <f>IF(TRIM(E61)&lt;&gt;"",COUNTA($E$10:E61)&amp;"","")</f>
        <v>52</v>
      </c>
      <c r="B61" s="32" t="s">
        <v>58</v>
      </c>
      <c r="C61" s="26" t="s">
        <v>3</v>
      </c>
      <c r="D61" s="37">
        <v>1.03</v>
      </c>
      <c r="E61" s="44">
        <f>ROUND((0.3*4.81)*2*D61*E57,2)</f>
        <v>5.95</v>
      </c>
      <c r="F61" s="89">
        <f t="shared" si="27"/>
        <v>0</v>
      </c>
      <c r="G61" s="89"/>
      <c r="H61" s="90"/>
      <c r="I61" s="89">
        <f t="shared" si="30"/>
        <v>0</v>
      </c>
      <c r="J61" s="89"/>
      <c r="K61" s="89">
        <f t="shared" si="31"/>
        <v>0</v>
      </c>
      <c r="L61" s="31" t="s">
        <v>11</v>
      </c>
      <c r="N61" s="4"/>
    </row>
    <row r="62" spans="1:14" ht="25.5" x14ac:dyDescent="0.25">
      <c r="A62" s="24" t="str">
        <f>IF(TRIM(E62)&lt;&gt;"",COUNTA($E$10:E62)&amp;"","")</f>
        <v>53</v>
      </c>
      <c r="B62" s="32" t="s">
        <v>59</v>
      </c>
      <c r="C62" s="26" t="s">
        <v>3</v>
      </c>
      <c r="D62" s="33">
        <v>1.03</v>
      </c>
      <c r="E62" s="44">
        <f>ROUND(5.55*0.73*8*D62*E57,2)</f>
        <v>66.77</v>
      </c>
      <c r="F62" s="89">
        <f t="shared" si="27"/>
        <v>0</v>
      </c>
      <c r="G62" s="89"/>
      <c r="H62" s="90"/>
      <c r="I62" s="89">
        <f t="shared" si="30"/>
        <v>0</v>
      </c>
      <c r="J62" s="89"/>
      <c r="K62" s="89">
        <f t="shared" si="31"/>
        <v>0</v>
      </c>
      <c r="L62" s="31" t="s">
        <v>11</v>
      </c>
      <c r="N62" s="4"/>
    </row>
    <row r="63" spans="1:14" ht="25.5" x14ac:dyDescent="0.25">
      <c r="A63" s="24" t="str">
        <f>IF(TRIM(E63)&lt;&gt;"",COUNTA($E$10:E63)&amp;"","")</f>
        <v>54</v>
      </c>
      <c r="B63" s="32" t="s">
        <v>120</v>
      </c>
      <c r="C63" s="26" t="s">
        <v>3</v>
      </c>
      <c r="D63" s="33">
        <v>1.03</v>
      </c>
      <c r="E63" s="44">
        <f>ROUND(4.43*2.48*2*D63*E57,2)</f>
        <v>45.26</v>
      </c>
      <c r="F63" s="89">
        <f t="shared" si="27"/>
        <v>0</v>
      </c>
      <c r="G63" s="89"/>
      <c r="H63" s="90"/>
      <c r="I63" s="89">
        <f t="shared" si="30"/>
        <v>0</v>
      </c>
      <c r="J63" s="89"/>
      <c r="K63" s="89">
        <f t="shared" si="31"/>
        <v>0</v>
      </c>
      <c r="L63" s="31" t="s">
        <v>11</v>
      </c>
      <c r="N63" s="4"/>
    </row>
    <row r="64" spans="1:14" ht="25.5" x14ac:dyDescent="0.25">
      <c r="A64" s="24" t="str">
        <f>IF(TRIM(E64)&lt;&gt;"",COUNTA($E$10:E64)&amp;"","")</f>
        <v>55</v>
      </c>
      <c r="B64" s="32" t="s">
        <v>60</v>
      </c>
      <c r="C64" s="26" t="s">
        <v>0</v>
      </c>
      <c r="D64" s="37">
        <v>1</v>
      </c>
      <c r="E64" s="45">
        <f>40*E57</f>
        <v>80</v>
      </c>
      <c r="F64" s="89">
        <f t="shared" si="27"/>
        <v>0</v>
      </c>
      <c r="G64" s="89"/>
      <c r="H64" s="90"/>
      <c r="I64" s="89">
        <f t="shared" si="30"/>
        <v>0</v>
      </c>
      <c r="J64" s="89"/>
      <c r="K64" s="89">
        <f t="shared" si="31"/>
        <v>0</v>
      </c>
      <c r="L64" s="31" t="s">
        <v>11</v>
      </c>
      <c r="N64" s="4"/>
    </row>
    <row r="65" spans="1:14" ht="25.5" x14ac:dyDescent="0.25">
      <c r="A65" s="24" t="str">
        <f>IF(TRIM(E65)&lt;&gt;"",COUNTA($E$10:E65)&amp;"","")</f>
        <v>56</v>
      </c>
      <c r="B65" s="32" t="s">
        <v>61</v>
      </c>
      <c r="C65" s="26" t="s">
        <v>3</v>
      </c>
      <c r="D65" s="37">
        <v>1.03</v>
      </c>
      <c r="E65" s="44">
        <f>ROUND((0.15*0.12*78.5)*8*D65*E57,2)</f>
        <v>23.29</v>
      </c>
      <c r="F65" s="89">
        <f t="shared" si="27"/>
        <v>0</v>
      </c>
      <c r="G65" s="89"/>
      <c r="H65" s="90"/>
      <c r="I65" s="89">
        <f t="shared" si="30"/>
        <v>0</v>
      </c>
      <c r="J65" s="89"/>
      <c r="K65" s="89">
        <f t="shared" si="31"/>
        <v>0</v>
      </c>
      <c r="L65" s="31" t="s">
        <v>11</v>
      </c>
      <c r="N65" s="4"/>
    </row>
    <row r="66" spans="1:14" ht="25.5" x14ac:dyDescent="0.25">
      <c r="A66" s="24" t="str">
        <f>IF(TRIM(E66)&lt;&gt;"",COUNTA($E$10:E66)&amp;"","")</f>
        <v>57</v>
      </c>
      <c r="B66" s="46" t="s">
        <v>95</v>
      </c>
      <c r="C66" s="26" t="s">
        <v>3</v>
      </c>
      <c r="D66" s="37">
        <v>1.03</v>
      </c>
      <c r="E66" s="44">
        <f>ROUND((1.19*0.73*39.25)*1*D66*E57,2)</f>
        <v>70.239999999999995</v>
      </c>
      <c r="F66" s="89">
        <f t="shared" si="27"/>
        <v>0</v>
      </c>
      <c r="G66" s="89"/>
      <c r="H66" s="90"/>
      <c r="I66" s="89">
        <f t="shared" si="30"/>
        <v>0</v>
      </c>
      <c r="J66" s="89"/>
      <c r="K66" s="89">
        <f t="shared" si="31"/>
        <v>0</v>
      </c>
      <c r="L66" s="31" t="s">
        <v>11</v>
      </c>
      <c r="N66" s="4"/>
    </row>
    <row r="67" spans="1:14" ht="25.5" x14ac:dyDescent="0.25">
      <c r="A67" s="24" t="str">
        <f>IF(TRIM(E67)&lt;&gt;"",COUNTA($E$10:E67)&amp;"","")</f>
        <v>58</v>
      </c>
      <c r="B67" s="32" t="s">
        <v>96</v>
      </c>
      <c r="C67" s="26" t="s">
        <v>3</v>
      </c>
      <c r="D67" s="37">
        <v>1.03</v>
      </c>
      <c r="E67" s="44">
        <f>ROUND((1.19*4.81)*2*D67*E57,2)</f>
        <v>23.58</v>
      </c>
      <c r="F67" s="89">
        <f t="shared" si="27"/>
        <v>0</v>
      </c>
      <c r="G67" s="89"/>
      <c r="H67" s="90"/>
      <c r="I67" s="89">
        <f t="shared" si="30"/>
        <v>0</v>
      </c>
      <c r="J67" s="89"/>
      <c r="K67" s="89">
        <f t="shared" si="31"/>
        <v>0</v>
      </c>
      <c r="L67" s="31" t="s">
        <v>11</v>
      </c>
      <c r="N67" s="4"/>
    </row>
    <row r="68" spans="1:14" ht="25.5" x14ac:dyDescent="0.25">
      <c r="A68" s="24" t="str">
        <f>IF(TRIM(E68)&lt;&gt;"",COUNTA($E$10:E68)&amp;"","")</f>
        <v>59</v>
      </c>
      <c r="B68" s="32" t="s">
        <v>62</v>
      </c>
      <c r="C68" s="26" t="s">
        <v>3</v>
      </c>
      <c r="D68" s="37">
        <v>1.03</v>
      </c>
      <c r="E68" s="44">
        <f>ROUND((0.73*4.81)*2*D68*E57,2)</f>
        <v>14.47</v>
      </c>
      <c r="F68" s="89">
        <f t="shared" si="27"/>
        <v>0</v>
      </c>
      <c r="G68" s="89"/>
      <c r="H68" s="90"/>
      <c r="I68" s="89">
        <f t="shared" si="30"/>
        <v>0</v>
      </c>
      <c r="J68" s="89"/>
      <c r="K68" s="89">
        <f t="shared" si="31"/>
        <v>0</v>
      </c>
      <c r="L68" s="31" t="s">
        <v>11</v>
      </c>
      <c r="N68" s="4"/>
    </row>
    <row r="69" spans="1:14" ht="25.5" x14ac:dyDescent="0.25">
      <c r="A69" s="24" t="str">
        <f>IF(TRIM(E69)&lt;&gt;"",COUNTA($E$10:E69)&amp;"","")</f>
        <v>60</v>
      </c>
      <c r="B69" s="32" t="s">
        <v>97</v>
      </c>
      <c r="C69" s="26" t="s">
        <v>3</v>
      </c>
      <c r="D69" s="37">
        <v>1.03</v>
      </c>
      <c r="E69" s="44">
        <f>ROUND((0.29*4.81)*2*D69*E57,2)</f>
        <v>5.75</v>
      </c>
      <c r="F69" s="89">
        <f t="shared" si="27"/>
        <v>0</v>
      </c>
      <c r="G69" s="89"/>
      <c r="H69" s="90"/>
      <c r="I69" s="89">
        <f t="shared" si="30"/>
        <v>0</v>
      </c>
      <c r="J69" s="89"/>
      <c r="K69" s="89">
        <f t="shared" si="31"/>
        <v>0</v>
      </c>
      <c r="L69" s="31" t="s">
        <v>11</v>
      </c>
      <c r="N69" s="4"/>
    </row>
    <row r="70" spans="1:14" ht="25.5" x14ac:dyDescent="0.25">
      <c r="A70" s="88" t="str">
        <f>IF(TRIM(E70)&lt;&gt;"",COUNTA($E$10:E70)&amp;"","")</f>
        <v>61</v>
      </c>
      <c r="B70" s="42" t="s">
        <v>112</v>
      </c>
      <c r="C70" s="20" t="s">
        <v>1</v>
      </c>
      <c r="D70" s="38"/>
      <c r="E70" s="22">
        <f>(8.7+2.2+1.26+1.1)/2*E57</f>
        <v>13.259999999999998</v>
      </c>
      <c r="F70" s="85">
        <f t="shared" si="27"/>
        <v>0</v>
      </c>
      <c r="G70" s="86"/>
      <c r="H70" s="85"/>
      <c r="I70" s="85">
        <f t="shared" ref="I70:I72" si="32">J70+K70</f>
        <v>0</v>
      </c>
      <c r="J70" s="85">
        <f>G70*E70</f>
        <v>0</v>
      </c>
      <c r="K70" s="85"/>
      <c r="L70" s="39"/>
      <c r="N70" s="4"/>
    </row>
    <row r="71" spans="1:14" ht="25.5" x14ac:dyDescent="0.25">
      <c r="A71" s="24" t="str">
        <f>IF(TRIM(E71)&lt;&gt;"",COUNTA($E$10:E71)&amp;"","")</f>
        <v>62</v>
      </c>
      <c r="B71" s="32" t="s">
        <v>143</v>
      </c>
      <c r="C71" s="26" t="s">
        <v>3</v>
      </c>
      <c r="D71" s="37">
        <v>0.24</v>
      </c>
      <c r="E71" s="44">
        <f>ROUND((8.7+2.2+1.26+1.1)/2*D71*E57,2)</f>
        <v>3.18</v>
      </c>
      <c r="F71" s="89">
        <f t="shared" si="27"/>
        <v>0</v>
      </c>
      <c r="G71" s="89"/>
      <c r="H71" s="90"/>
      <c r="I71" s="89">
        <f t="shared" si="32"/>
        <v>0</v>
      </c>
      <c r="J71" s="89"/>
      <c r="K71" s="89">
        <f t="shared" ref="K71:K72" si="33">H71*E71</f>
        <v>0</v>
      </c>
      <c r="L71" s="31" t="s">
        <v>11</v>
      </c>
      <c r="N71" s="4"/>
    </row>
    <row r="72" spans="1:14" ht="25.5" x14ac:dyDescent="0.25">
      <c r="A72" s="24" t="str">
        <f>IF(TRIM(E72)&lt;&gt;"",COUNTA($E$10:E72)&amp;"","")</f>
        <v>63</v>
      </c>
      <c r="B72" s="32" t="s">
        <v>63</v>
      </c>
      <c r="C72" s="26" t="s">
        <v>3</v>
      </c>
      <c r="D72" s="37">
        <v>0.3</v>
      </c>
      <c r="E72" s="44">
        <f>ROUND((8.7+2.2+1.26+1.1)/2*D72*E57,2)</f>
        <v>3.98</v>
      </c>
      <c r="F72" s="89">
        <f t="shared" si="27"/>
        <v>0</v>
      </c>
      <c r="G72" s="89"/>
      <c r="H72" s="90"/>
      <c r="I72" s="89">
        <f t="shared" si="32"/>
        <v>0</v>
      </c>
      <c r="J72" s="89"/>
      <c r="K72" s="89">
        <f t="shared" si="33"/>
        <v>0</v>
      </c>
      <c r="L72" s="31" t="s">
        <v>11</v>
      </c>
      <c r="N72" s="4"/>
    </row>
    <row r="73" spans="1:14" ht="14.25" x14ac:dyDescent="0.25">
      <c r="A73" s="88" t="str">
        <f>IF(TRIM(E73)&lt;&gt;"",COUNTA($E$10:E73)&amp;"","")</f>
        <v>64</v>
      </c>
      <c r="B73" s="19" t="s">
        <v>121</v>
      </c>
      <c r="C73" s="20" t="s">
        <v>23</v>
      </c>
      <c r="D73" s="21"/>
      <c r="E73" s="22">
        <f>6.6+51.63+12.54+7.54+28.37+2.85+14.85+6.6+51.63+16.54+3.51+30.94+15.62</f>
        <v>249.22</v>
      </c>
      <c r="F73" s="85">
        <f t="shared" si="27"/>
        <v>0</v>
      </c>
      <c r="G73" s="86"/>
      <c r="H73" s="85"/>
      <c r="I73" s="85">
        <f t="shared" ref="I73:I89" si="34">J73+K73</f>
        <v>0</v>
      </c>
      <c r="J73" s="85">
        <f>G73*E73</f>
        <v>0</v>
      </c>
      <c r="K73" s="85"/>
      <c r="L73" s="23"/>
      <c r="N73" s="4"/>
    </row>
    <row r="74" spans="1:14" ht="25.5" x14ac:dyDescent="0.25">
      <c r="A74" s="24" t="str">
        <f>IF(TRIM(E74)&lt;&gt;"",COUNTA($E$10:E74)&amp;"","")</f>
        <v>65</v>
      </c>
      <c r="B74" s="25" t="s">
        <v>25</v>
      </c>
      <c r="C74" s="27" t="s">
        <v>0</v>
      </c>
      <c r="D74" s="27">
        <v>5</v>
      </c>
      <c r="E74" s="40">
        <f>ROUND(E73*D74,0)</f>
        <v>1246</v>
      </c>
      <c r="F74" s="89">
        <f t="shared" si="27"/>
        <v>0</v>
      </c>
      <c r="G74" s="89"/>
      <c r="H74" s="90"/>
      <c r="I74" s="89">
        <f t="shared" si="34"/>
        <v>0</v>
      </c>
      <c r="J74" s="89"/>
      <c r="K74" s="89">
        <f t="shared" ref="K74:K89" si="35">H74*E74</f>
        <v>0</v>
      </c>
      <c r="L74" s="27" t="s">
        <v>11</v>
      </c>
      <c r="N74" s="4"/>
    </row>
    <row r="75" spans="1:14" ht="25.5" x14ac:dyDescent="0.25">
      <c r="A75" s="24" t="str">
        <f>IF(TRIM(E75)&lt;&gt;"",COUNTA($E$10:E75)&amp;"","")</f>
        <v>66</v>
      </c>
      <c r="B75" s="25" t="s">
        <v>98</v>
      </c>
      <c r="C75" s="26" t="s">
        <v>23</v>
      </c>
      <c r="D75" s="27">
        <v>1.1000000000000001</v>
      </c>
      <c r="E75" s="28">
        <f>(6.6*2)*D75</f>
        <v>14.52</v>
      </c>
      <c r="F75" s="89">
        <f t="shared" si="27"/>
        <v>0</v>
      </c>
      <c r="G75" s="89"/>
      <c r="H75" s="90"/>
      <c r="I75" s="89">
        <f t="shared" si="34"/>
        <v>0</v>
      </c>
      <c r="J75" s="89"/>
      <c r="K75" s="89">
        <f t="shared" si="35"/>
        <v>0</v>
      </c>
      <c r="L75" s="29" t="s">
        <v>11</v>
      </c>
      <c r="N75" s="4"/>
    </row>
    <row r="76" spans="1:14" ht="25.5" x14ac:dyDescent="0.25">
      <c r="A76" s="24" t="str">
        <f>IF(TRIM(E76)&lt;&gt;"",COUNTA($E$10:E76)&amp;"","")</f>
        <v>67</v>
      </c>
      <c r="B76" s="25" t="s">
        <v>99</v>
      </c>
      <c r="C76" s="26" t="s">
        <v>23</v>
      </c>
      <c r="D76" s="27">
        <v>1.1000000000000001</v>
      </c>
      <c r="E76" s="28">
        <f>(51.63*2)*D76</f>
        <v>113.58600000000001</v>
      </c>
      <c r="F76" s="89">
        <f t="shared" si="27"/>
        <v>0</v>
      </c>
      <c r="G76" s="89"/>
      <c r="H76" s="90"/>
      <c r="I76" s="89">
        <f t="shared" si="34"/>
        <v>0</v>
      </c>
      <c r="J76" s="89"/>
      <c r="K76" s="89">
        <f t="shared" si="35"/>
        <v>0</v>
      </c>
      <c r="L76" s="29" t="s">
        <v>11</v>
      </c>
      <c r="N76" s="4"/>
    </row>
    <row r="77" spans="1:14" ht="25.5" x14ac:dyDescent="0.25">
      <c r="A77" s="24" t="str">
        <f>IF(TRIM(E77)&lt;&gt;"",COUNTA($E$10:E77)&amp;"","")</f>
        <v>68</v>
      </c>
      <c r="B77" s="25" t="s">
        <v>100</v>
      </c>
      <c r="C77" s="26" t="s">
        <v>23</v>
      </c>
      <c r="D77" s="27">
        <v>1.1000000000000001</v>
      </c>
      <c r="E77" s="28">
        <f>(12.54+16.54)*D77</f>
        <v>31.988</v>
      </c>
      <c r="F77" s="89">
        <f t="shared" si="27"/>
        <v>0</v>
      </c>
      <c r="G77" s="89"/>
      <c r="H77" s="90"/>
      <c r="I77" s="89">
        <f t="shared" si="34"/>
        <v>0</v>
      </c>
      <c r="J77" s="89"/>
      <c r="K77" s="89">
        <f t="shared" si="35"/>
        <v>0</v>
      </c>
      <c r="L77" s="29" t="s">
        <v>11</v>
      </c>
      <c r="N77" s="4"/>
    </row>
    <row r="78" spans="1:14" ht="25.5" x14ac:dyDescent="0.25">
      <c r="A78" s="24" t="str">
        <f>IF(TRIM(E78)&lt;&gt;"",COUNTA($E$10:E78)&amp;"","")</f>
        <v>69</v>
      </c>
      <c r="B78" s="25" t="s">
        <v>101</v>
      </c>
      <c r="C78" s="26" t="s">
        <v>23</v>
      </c>
      <c r="D78" s="27">
        <v>1.1000000000000001</v>
      </c>
      <c r="E78" s="28">
        <f>(7.54+3.51)*D78</f>
        <v>12.155000000000001</v>
      </c>
      <c r="F78" s="89">
        <f t="shared" si="27"/>
        <v>0</v>
      </c>
      <c r="G78" s="89"/>
      <c r="H78" s="90"/>
      <c r="I78" s="89">
        <f t="shared" si="34"/>
        <v>0</v>
      </c>
      <c r="J78" s="89"/>
      <c r="K78" s="89">
        <f t="shared" si="35"/>
        <v>0</v>
      </c>
      <c r="L78" s="29" t="s">
        <v>11</v>
      </c>
      <c r="N78" s="4"/>
    </row>
    <row r="79" spans="1:14" ht="25.5" x14ac:dyDescent="0.25">
      <c r="A79" s="24" t="str">
        <f>IF(TRIM(E79)&lt;&gt;"",COUNTA($E$10:E79)&amp;"","")</f>
        <v>70</v>
      </c>
      <c r="B79" s="25" t="s">
        <v>102</v>
      </c>
      <c r="C79" s="26" t="s">
        <v>23</v>
      </c>
      <c r="D79" s="27">
        <v>1.1000000000000001</v>
      </c>
      <c r="E79" s="28">
        <f>(28.37+30.94)*D79</f>
        <v>65.241000000000014</v>
      </c>
      <c r="F79" s="89">
        <f t="shared" si="27"/>
        <v>0</v>
      </c>
      <c r="G79" s="89"/>
      <c r="H79" s="90"/>
      <c r="I79" s="89">
        <f t="shared" si="34"/>
        <v>0</v>
      </c>
      <c r="J79" s="89"/>
      <c r="K79" s="89">
        <f t="shared" si="35"/>
        <v>0</v>
      </c>
      <c r="L79" s="29" t="s">
        <v>11</v>
      </c>
      <c r="N79" s="4"/>
    </row>
    <row r="80" spans="1:14" ht="25.5" x14ac:dyDescent="0.25">
      <c r="A80" s="24" t="str">
        <f>IF(TRIM(E80)&lt;&gt;"",COUNTA($E$10:E80)&amp;"","")</f>
        <v>71</v>
      </c>
      <c r="B80" s="25" t="s">
        <v>103</v>
      </c>
      <c r="C80" s="26" t="s">
        <v>23</v>
      </c>
      <c r="D80" s="27">
        <v>1.1000000000000001</v>
      </c>
      <c r="E80" s="28">
        <f>2.85*D80</f>
        <v>3.1350000000000002</v>
      </c>
      <c r="F80" s="89">
        <f t="shared" si="27"/>
        <v>0</v>
      </c>
      <c r="G80" s="89"/>
      <c r="H80" s="90"/>
      <c r="I80" s="89">
        <f t="shared" si="34"/>
        <v>0</v>
      </c>
      <c r="J80" s="89"/>
      <c r="K80" s="89">
        <f t="shared" si="35"/>
        <v>0</v>
      </c>
      <c r="L80" s="29" t="s">
        <v>11</v>
      </c>
      <c r="N80" s="4"/>
    </row>
    <row r="81" spans="1:14" ht="25.5" x14ac:dyDescent="0.25">
      <c r="A81" s="24" t="str">
        <f>IF(TRIM(E81)&lt;&gt;"",COUNTA($E$10:E81)&amp;"","")</f>
        <v>72</v>
      </c>
      <c r="B81" s="25" t="s">
        <v>110</v>
      </c>
      <c r="C81" s="26" t="s">
        <v>23</v>
      </c>
      <c r="D81" s="27">
        <v>1.1000000000000001</v>
      </c>
      <c r="E81" s="28">
        <f>(14.85+15.62)*D81</f>
        <v>33.517000000000003</v>
      </c>
      <c r="F81" s="89">
        <f t="shared" si="27"/>
        <v>0</v>
      </c>
      <c r="G81" s="89"/>
      <c r="H81" s="90"/>
      <c r="I81" s="89">
        <f t="shared" si="34"/>
        <v>0</v>
      </c>
      <c r="J81" s="89"/>
      <c r="K81" s="89">
        <f t="shared" si="35"/>
        <v>0</v>
      </c>
      <c r="L81" s="29" t="s">
        <v>11</v>
      </c>
      <c r="N81" s="4"/>
    </row>
    <row r="82" spans="1:14" ht="25.5" x14ac:dyDescent="0.25">
      <c r="A82" s="24" t="str">
        <f>IF(TRIM(E82)&lt;&gt;"",COUNTA($E$10:E82)&amp;"","")</f>
        <v>73</v>
      </c>
      <c r="B82" s="25" t="s">
        <v>104</v>
      </c>
      <c r="C82" s="26" t="s">
        <v>0</v>
      </c>
      <c r="D82" s="27">
        <v>1</v>
      </c>
      <c r="E82" s="28">
        <f>10*2</f>
        <v>20</v>
      </c>
      <c r="F82" s="89">
        <f t="shared" si="27"/>
        <v>0</v>
      </c>
      <c r="G82" s="89"/>
      <c r="H82" s="90"/>
      <c r="I82" s="89">
        <f t="shared" si="34"/>
        <v>0</v>
      </c>
      <c r="J82" s="89"/>
      <c r="K82" s="89">
        <f t="shared" si="35"/>
        <v>0</v>
      </c>
      <c r="L82" s="31" t="s">
        <v>11</v>
      </c>
      <c r="M82" s="6"/>
      <c r="N82" s="4"/>
    </row>
    <row r="83" spans="1:14" ht="25.5" x14ac:dyDescent="0.25">
      <c r="A83" s="24" t="str">
        <f>IF(TRIM(E83)&lt;&gt;"",COUNTA($E$10:E83)&amp;"","")</f>
        <v>74</v>
      </c>
      <c r="B83" s="25" t="s">
        <v>105</v>
      </c>
      <c r="C83" s="26" t="s">
        <v>0</v>
      </c>
      <c r="D83" s="27">
        <v>1</v>
      </c>
      <c r="E83" s="28">
        <f>82*2</f>
        <v>164</v>
      </c>
      <c r="F83" s="89">
        <f t="shared" si="27"/>
        <v>0</v>
      </c>
      <c r="G83" s="89"/>
      <c r="H83" s="90"/>
      <c r="I83" s="89">
        <f t="shared" si="34"/>
        <v>0</v>
      </c>
      <c r="J83" s="89"/>
      <c r="K83" s="89">
        <f t="shared" si="35"/>
        <v>0</v>
      </c>
      <c r="L83" s="31" t="s">
        <v>11</v>
      </c>
      <c r="M83" s="6"/>
      <c r="N83" s="4"/>
    </row>
    <row r="84" spans="1:14" ht="25.5" x14ac:dyDescent="0.25">
      <c r="A84" s="24" t="str">
        <f>IF(TRIM(E84)&lt;&gt;"",COUNTA($E$10:E84)&amp;"","")</f>
        <v>75</v>
      </c>
      <c r="B84" s="25" t="s">
        <v>106</v>
      </c>
      <c r="C84" s="26" t="s">
        <v>0</v>
      </c>
      <c r="D84" s="27">
        <v>1</v>
      </c>
      <c r="E84" s="28">
        <f>19+24</f>
        <v>43</v>
      </c>
      <c r="F84" s="89">
        <f t="shared" si="27"/>
        <v>0</v>
      </c>
      <c r="G84" s="89"/>
      <c r="H84" s="90"/>
      <c r="I84" s="89">
        <f t="shared" si="34"/>
        <v>0</v>
      </c>
      <c r="J84" s="89"/>
      <c r="K84" s="89">
        <f t="shared" si="35"/>
        <v>0</v>
      </c>
      <c r="L84" s="31" t="s">
        <v>11</v>
      </c>
      <c r="M84" s="6"/>
      <c r="N84" s="4"/>
    </row>
    <row r="85" spans="1:14" ht="25.5" x14ac:dyDescent="0.25">
      <c r="A85" s="24" t="str">
        <f>IF(TRIM(E85)&lt;&gt;"",COUNTA($E$10:E85)&amp;"","")</f>
        <v>76</v>
      </c>
      <c r="B85" s="25" t="s">
        <v>107</v>
      </c>
      <c r="C85" s="26" t="s">
        <v>0</v>
      </c>
      <c r="D85" s="27">
        <v>1</v>
      </c>
      <c r="E85" s="28">
        <f>11+6</f>
        <v>17</v>
      </c>
      <c r="F85" s="89">
        <f t="shared" si="27"/>
        <v>0</v>
      </c>
      <c r="G85" s="89"/>
      <c r="H85" s="90"/>
      <c r="I85" s="89">
        <f t="shared" si="34"/>
        <v>0</v>
      </c>
      <c r="J85" s="89"/>
      <c r="K85" s="89">
        <f t="shared" si="35"/>
        <v>0</v>
      </c>
      <c r="L85" s="31" t="s">
        <v>11</v>
      </c>
      <c r="M85" s="6"/>
      <c r="N85" s="4"/>
    </row>
    <row r="86" spans="1:14" ht="25.5" x14ac:dyDescent="0.25">
      <c r="A86" s="24" t="str">
        <f>IF(TRIM(E86)&lt;&gt;"",COUNTA($E$10:E86)&amp;"","")</f>
        <v>77</v>
      </c>
      <c r="B86" s="25" t="s">
        <v>108</v>
      </c>
      <c r="C86" s="26" t="s">
        <v>0</v>
      </c>
      <c r="D86" s="27">
        <v>1</v>
      </c>
      <c r="E86" s="28">
        <f>52+56</f>
        <v>108</v>
      </c>
      <c r="F86" s="89">
        <f t="shared" si="27"/>
        <v>0</v>
      </c>
      <c r="G86" s="89"/>
      <c r="H86" s="90"/>
      <c r="I86" s="89">
        <f t="shared" si="34"/>
        <v>0</v>
      </c>
      <c r="J86" s="89"/>
      <c r="K86" s="89">
        <f t="shared" si="35"/>
        <v>0</v>
      </c>
      <c r="L86" s="31" t="s">
        <v>11</v>
      </c>
      <c r="M86" s="6"/>
      <c r="N86" s="4"/>
    </row>
    <row r="87" spans="1:14" ht="25.5" x14ac:dyDescent="0.25">
      <c r="A87" s="24" t="str">
        <f>IF(TRIM(E87)&lt;&gt;"",COUNTA($E$10:E87)&amp;"","")</f>
        <v>78</v>
      </c>
      <c r="B87" s="25" t="s">
        <v>109</v>
      </c>
      <c r="C87" s="26" t="s">
        <v>0</v>
      </c>
      <c r="D87" s="27">
        <v>1</v>
      </c>
      <c r="E87" s="28">
        <f>6</f>
        <v>6</v>
      </c>
      <c r="F87" s="89">
        <f t="shared" si="27"/>
        <v>0</v>
      </c>
      <c r="G87" s="89"/>
      <c r="H87" s="90"/>
      <c r="I87" s="89">
        <f t="shared" si="34"/>
        <v>0</v>
      </c>
      <c r="J87" s="89"/>
      <c r="K87" s="89">
        <f t="shared" si="35"/>
        <v>0</v>
      </c>
      <c r="L87" s="31" t="s">
        <v>11</v>
      </c>
      <c r="M87" s="6"/>
      <c r="N87" s="4"/>
    </row>
    <row r="88" spans="1:14" ht="25.5" x14ac:dyDescent="0.25">
      <c r="A88" s="24" t="str">
        <f>IF(TRIM(E88)&lt;&gt;"",COUNTA($E$10:E88)&amp;"","")</f>
        <v>79</v>
      </c>
      <c r="B88" s="25" t="s">
        <v>147</v>
      </c>
      <c r="C88" s="26" t="s">
        <v>0</v>
      </c>
      <c r="D88" s="27">
        <v>1</v>
      </c>
      <c r="E88" s="28">
        <f>3+3</f>
        <v>6</v>
      </c>
      <c r="F88" s="89">
        <f t="shared" si="27"/>
        <v>0</v>
      </c>
      <c r="G88" s="89"/>
      <c r="H88" s="90"/>
      <c r="I88" s="89">
        <f t="shared" si="34"/>
        <v>0</v>
      </c>
      <c r="J88" s="89"/>
      <c r="K88" s="89">
        <f t="shared" si="35"/>
        <v>0</v>
      </c>
      <c r="L88" s="31" t="s">
        <v>11</v>
      </c>
      <c r="M88" s="6"/>
      <c r="N88" s="4"/>
    </row>
    <row r="89" spans="1:14" ht="25.5" x14ac:dyDescent="0.25">
      <c r="A89" s="24" t="str">
        <f>IF(TRIM(E89)&lt;&gt;"",COUNTA($E$10:E89)&amp;"","")</f>
        <v>80</v>
      </c>
      <c r="B89" s="25" t="s">
        <v>21</v>
      </c>
      <c r="C89" s="26" t="s">
        <v>22</v>
      </c>
      <c r="D89" s="35">
        <v>1.0149999999999999</v>
      </c>
      <c r="E89" s="28">
        <f>(E73)*0.48*((0.05+0.093)/2)*D89</f>
        <v>8.6815288559999999</v>
      </c>
      <c r="F89" s="89">
        <f t="shared" si="27"/>
        <v>0</v>
      </c>
      <c r="G89" s="89"/>
      <c r="H89" s="90"/>
      <c r="I89" s="89">
        <f t="shared" si="34"/>
        <v>0</v>
      </c>
      <c r="J89" s="89"/>
      <c r="K89" s="89">
        <f t="shared" si="35"/>
        <v>0</v>
      </c>
      <c r="L89" s="31" t="s">
        <v>11</v>
      </c>
      <c r="N89" s="4"/>
    </row>
    <row r="90" spans="1:14" ht="14.25" x14ac:dyDescent="0.25">
      <c r="A90" s="88" t="str">
        <f>IF(TRIM(E90)&lt;&gt;"",COUNTA($E$10:E90)&amp;"","")</f>
        <v>81</v>
      </c>
      <c r="B90" s="19" t="s">
        <v>53</v>
      </c>
      <c r="C90" s="20" t="s">
        <v>23</v>
      </c>
      <c r="D90" s="21"/>
      <c r="E90" s="22">
        <f>1.61*2</f>
        <v>3.22</v>
      </c>
      <c r="F90" s="85">
        <f t="shared" ref="F90:F92" si="36">G90+H90</f>
        <v>0</v>
      </c>
      <c r="G90" s="86"/>
      <c r="H90" s="85"/>
      <c r="I90" s="85">
        <f t="shared" ref="I90:I92" si="37">J90+K90</f>
        <v>0</v>
      </c>
      <c r="J90" s="85">
        <f>G90*E90</f>
        <v>0</v>
      </c>
      <c r="K90" s="85"/>
      <c r="L90" s="23"/>
      <c r="N90" s="4"/>
    </row>
    <row r="91" spans="1:14" ht="25.5" x14ac:dyDescent="0.25">
      <c r="A91" s="24" t="str">
        <f>IF(TRIM(E91)&lt;&gt;"",COUNTA($E$10:E91)&amp;"","")</f>
        <v>82</v>
      </c>
      <c r="B91" s="25" t="s">
        <v>25</v>
      </c>
      <c r="C91" s="27" t="s">
        <v>0</v>
      </c>
      <c r="D91" s="27">
        <v>5</v>
      </c>
      <c r="E91" s="40">
        <f>ROUND(E90*D91,0)</f>
        <v>16</v>
      </c>
      <c r="F91" s="89">
        <f t="shared" si="36"/>
        <v>0</v>
      </c>
      <c r="G91" s="89"/>
      <c r="H91" s="90"/>
      <c r="I91" s="89">
        <f t="shared" si="37"/>
        <v>0</v>
      </c>
      <c r="J91" s="89"/>
      <c r="K91" s="89">
        <f t="shared" ref="K91:K92" si="38">H91*E91</f>
        <v>0</v>
      </c>
      <c r="L91" s="27" t="s">
        <v>11</v>
      </c>
      <c r="N91" s="4"/>
    </row>
    <row r="92" spans="1:14" ht="25.5" x14ac:dyDescent="0.25">
      <c r="A92" s="24" t="str">
        <f>IF(TRIM(E92)&lt;&gt;"",COUNTA($E$10:E92)&amp;"","")</f>
        <v>83</v>
      </c>
      <c r="B92" s="25" t="s">
        <v>111</v>
      </c>
      <c r="C92" s="26" t="s">
        <v>23</v>
      </c>
      <c r="D92" s="27">
        <v>1.1000000000000001</v>
      </c>
      <c r="E92" s="28">
        <f>E90*D92</f>
        <v>3.5420000000000007</v>
      </c>
      <c r="F92" s="89">
        <f t="shared" si="36"/>
        <v>0</v>
      </c>
      <c r="G92" s="89"/>
      <c r="H92" s="90"/>
      <c r="I92" s="89">
        <f t="shared" si="37"/>
        <v>0</v>
      </c>
      <c r="J92" s="89"/>
      <c r="K92" s="89">
        <f t="shared" si="38"/>
        <v>0</v>
      </c>
      <c r="L92" s="29" t="s">
        <v>11</v>
      </c>
      <c r="N92" s="4"/>
    </row>
    <row r="93" spans="1:14" ht="51" x14ac:dyDescent="0.25">
      <c r="A93" s="88" t="str">
        <f>IF(TRIM(E93)&lt;&gt;"",COUNTA($E$10:E93)&amp;"","")</f>
        <v>84</v>
      </c>
      <c r="B93" s="41" t="s">
        <v>122</v>
      </c>
      <c r="C93" s="20" t="s">
        <v>0</v>
      </c>
      <c r="D93" s="21"/>
      <c r="E93" s="22">
        <f>SUM(E94:E97)</f>
        <v>7</v>
      </c>
      <c r="F93" s="85">
        <f t="shared" ref="F90:F97" si="39">G93+H93</f>
        <v>0</v>
      </c>
      <c r="G93" s="86"/>
      <c r="H93" s="85"/>
      <c r="I93" s="85">
        <f t="shared" ref="I93:I97" si="40">J93+K93</f>
        <v>0</v>
      </c>
      <c r="J93" s="85">
        <f>G93*E93</f>
        <v>0</v>
      </c>
      <c r="K93" s="85"/>
      <c r="L93" s="23"/>
      <c r="N93" s="4"/>
    </row>
    <row r="94" spans="1:14" ht="25.5" x14ac:dyDescent="0.25">
      <c r="A94" s="24" t="str">
        <f>IF(TRIM(E94)&lt;&gt;"",COUNTA($E$10:E94)&amp;"","")</f>
        <v>85</v>
      </c>
      <c r="B94" s="25" t="s">
        <v>148</v>
      </c>
      <c r="C94" s="26" t="s">
        <v>0</v>
      </c>
      <c r="D94" s="27">
        <v>1</v>
      </c>
      <c r="E94" s="28">
        <v>3</v>
      </c>
      <c r="F94" s="89">
        <f t="shared" si="39"/>
        <v>0</v>
      </c>
      <c r="G94" s="89"/>
      <c r="H94" s="90"/>
      <c r="I94" s="89">
        <f t="shared" si="40"/>
        <v>0</v>
      </c>
      <c r="J94" s="89"/>
      <c r="K94" s="89">
        <f t="shared" ref="K94:K97" si="41">H94*E94</f>
        <v>0</v>
      </c>
      <c r="L94" s="29" t="s">
        <v>11</v>
      </c>
      <c r="N94" s="4"/>
    </row>
    <row r="95" spans="1:14" ht="25.5" x14ac:dyDescent="0.25">
      <c r="A95" s="24" t="str">
        <f>IF(TRIM(E95)&lt;&gt;"",COUNTA($E$10:E99)&amp;"","")</f>
        <v>90</v>
      </c>
      <c r="B95" s="25" t="s">
        <v>154</v>
      </c>
      <c r="C95" s="26" t="s">
        <v>0</v>
      </c>
      <c r="D95" s="27">
        <v>1</v>
      </c>
      <c r="E95" s="28">
        <v>1</v>
      </c>
      <c r="F95" s="89">
        <f t="shared" si="39"/>
        <v>0</v>
      </c>
      <c r="G95" s="89"/>
      <c r="H95" s="90"/>
      <c r="I95" s="89">
        <f t="shared" si="40"/>
        <v>0</v>
      </c>
      <c r="J95" s="89"/>
      <c r="K95" s="89">
        <f t="shared" si="41"/>
        <v>0</v>
      </c>
      <c r="L95" s="29" t="s">
        <v>11</v>
      </c>
      <c r="N95" s="4"/>
    </row>
    <row r="96" spans="1:14" ht="25.5" x14ac:dyDescent="0.25">
      <c r="A96" s="24" t="str">
        <f>IF(TRIM(E96)&lt;&gt;"",COUNTA($E$10:E100)&amp;"","")</f>
        <v>91</v>
      </c>
      <c r="B96" s="25" t="s">
        <v>155</v>
      </c>
      <c r="C96" s="26" t="s">
        <v>0</v>
      </c>
      <c r="D96" s="27">
        <v>1</v>
      </c>
      <c r="E96" s="28">
        <v>1</v>
      </c>
      <c r="F96" s="89">
        <f t="shared" si="39"/>
        <v>0</v>
      </c>
      <c r="G96" s="89"/>
      <c r="H96" s="90"/>
      <c r="I96" s="89">
        <f t="shared" si="40"/>
        <v>0</v>
      </c>
      <c r="J96" s="89"/>
      <c r="K96" s="89">
        <f t="shared" si="41"/>
        <v>0</v>
      </c>
      <c r="L96" s="29" t="s">
        <v>11</v>
      </c>
      <c r="N96" s="4"/>
    </row>
    <row r="97" spans="1:14" ht="25.5" x14ac:dyDescent="0.25">
      <c r="A97" s="24" t="str">
        <f>IF(TRIM(E97)&lt;&gt;"",COUNTA($E$10:E97)&amp;"","")</f>
        <v>88</v>
      </c>
      <c r="B97" s="25" t="s">
        <v>149</v>
      </c>
      <c r="C97" s="26" t="s">
        <v>0</v>
      </c>
      <c r="D97" s="27">
        <v>1</v>
      </c>
      <c r="E97" s="28">
        <v>2</v>
      </c>
      <c r="F97" s="89">
        <f t="shared" si="39"/>
        <v>0</v>
      </c>
      <c r="G97" s="89"/>
      <c r="H97" s="90"/>
      <c r="I97" s="89">
        <f t="shared" si="40"/>
        <v>0</v>
      </c>
      <c r="J97" s="89"/>
      <c r="K97" s="89">
        <f t="shared" si="41"/>
        <v>0</v>
      </c>
      <c r="L97" s="29" t="s">
        <v>11</v>
      </c>
      <c r="N97" s="4"/>
    </row>
    <row r="98" spans="1:14" ht="51" x14ac:dyDescent="0.25">
      <c r="A98" s="88" t="str">
        <f>IF(TRIM(E98)&lt;&gt;"",COUNTA($E$10:E98)&amp;"","")</f>
        <v>89</v>
      </c>
      <c r="B98" s="41" t="s">
        <v>136</v>
      </c>
      <c r="C98" s="20" t="s">
        <v>0</v>
      </c>
      <c r="D98" s="21"/>
      <c r="E98" s="22">
        <f>SUM(E99:E100)</f>
        <v>5</v>
      </c>
      <c r="F98" s="85">
        <f t="shared" ref="F98:F100" si="42">G98+H98</f>
        <v>0</v>
      </c>
      <c r="G98" s="86"/>
      <c r="H98" s="85"/>
      <c r="I98" s="85">
        <f t="shared" ref="I98:I100" si="43">J98+K98</f>
        <v>0</v>
      </c>
      <c r="J98" s="85">
        <f>G98*E98</f>
        <v>0</v>
      </c>
      <c r="K98" s="85"/>
      <c r="L98" s="23"/>
      <c r="N98" s="4"/>
    </row>
    <row r="99" spans="1:14" ht="25.5" x14ac:dyDescent="0.25">
      <c r="A99" s="24" t="str">
        <f>IF(TRIM(E99)&lt;&gt;"",COUNTA($E$10:E99)&amp;"","")</f>
        <v>90</v>
      </c>
      <c r="B99" s="25" t="s">
        <v>151</v>
      </c>
      <c r="C99" s="26" t="s">
        <v>0</v>
      </c>
      <c r="D99" s="27">
        <v>1</v>
      </c>
      <c r="E99" s="28">
        <v>3</v>
      </c>
      <c r="F99" s="89">
        <f t="shared" si="42"/>
        <v>0</v>
      </c>
      <c r="G99" s="89"/>
      <c r="H99" s="90"/>
      <c r="I99" s="89">
        <f t="shared" si="43"/>
        <v>0</v>
      </c>
      <c r="J99" s="89"/>
      <c r="K99" s="89">
        <f t="shared" ref="K99:K100" si="44">H99*E99</f>
        <v>0</v>
      </c>
      <c r="L99" s="29" t="s">
        <v>11</v>
      </c>
      <c r="N99" s="4"/>
    </row>
    <row r="100" spans="1:14" ht="25.5" x14ac:dyDescent="0.25">
      <c r="A100" s="24" t="str">
        <f>IF(TRIM(E100)&lt;&gt;"",COUNTA($E$10:E100)&amp;"","")</f>
        <v>91</v>
      </c>
      <c r="B100" s="25" t="s">
        <v>152</v>
      </c>
      <c r="C100" s="26" t="s">
        <v>0</v>
      </c>
      <c r="D100" s="27">
        <v>1</v>
      </c>
      <c r="E100" s="28">
        <v>2</v>
      </c>
      <c r="F100" s="89">
        <f t="shared" si="42"/>
        <v>0</v>
      </c>
      <c r="G100" s="89"/>
      <c r="H100" s="90"/>
      <c r="I100" s="89">
        <f t="shared" si="43"/>
        <v>0</v>
      </c>
      <c r="J100" s="89"/>
      <c r="K100" s="89">
        <f t="shared" si="44"/>
        <v>0</v>
      </c>
      <c r="L100" s="29" t="s">
        <v>11</v>
      </c>
      <c r="N100" s="4"/>
    </row>
    <row r="101" spans="1:14" ht="51" x14ac:dyDescent="0.25">
      <c r="A101" s="88" t="str">
        <f>IF(TRIM(E101)&lt;&gt;"",COUNTA($E$10:E101)&amp;"","")</f>
        <v>92</v>
      </c>
      <c r="B101" s="19" t="s">
        <v>140</v>
      </c>
      <c r="C101" s="20" t="s">
        <v>0</v>
      </c>
      <c r="D101" s="21"/>
      <c r="E101" s="22">
        <f>SUM(E102)</f>
        <v>2</v>
      </c>
      <c r="F101" s="85">
        <f t="shared" ref="F101:F102" si="45">G101+H101</f>
        <v>0</v>
      </c>
      <c r="G101" s="86"/>
      <c r="H101" s="85"/>
      <c r="I101" s="85">
        <f t="shared" ref="I101:I102" si="46">J101+K101</f>
        <v>0</v>
      </c>
      <c r="J101" s="85">
        <f>G101*E101</f>
        <v>0</v>
      </c>
      <c r="K101" s="85"/>
      <c r="L101" s="23"/>
      <c r="N101" s="4"/>
    </row>
    <row r="102" spans="1:14" ht="25.5" x14ac:dyDescent="0.25">
      <c r="A102" s="24" t="str">
        <f>IF(TRIM(E102)&lt;&gt;"",COUNTA($E$10:E102)&amp;"","")</f>
        <v>93</v>
      </c>
      <c r="B102" s="25" t="s">
        <v>153</v>
      </c>
      <c r="C102" s="26" t="s">
        <v>0</v>
      </c>
      <c r="D102" s="27">
        <v>1</v>
      </c>
      <c r="E102" s="28">
        <v>2</v>
      </c>
      <c r="F102" s="89">
        <f t="shared" si="45"/>
        <v>0</v>
      </c>
      <c r="G102" s="89"/>
      <c r="H102" s="90"/>
      <c r="I102" s="89">
        <f t="shared" si="46"/>
        <v>0</v>
      </c>
      <c r="J102" s="89"/>
      <c r="K102" s="89">
        <f t="shared" ref="K102" si="47">H102*E102</f>
        <v>0</v>
      </c>
      <c r="L102" s="29" t="s">
        <v>11</v>
      </c>
      <c r="N102" s="4"/>
    </row>
    <row r="103" spans="1:14" s="5" customFormat="1" x14ac:dyDescent="0.25">
      <c r="A103" s="15" t="str">
        <f>IF(TRIM(E103)&lt;&gt;"",COUNTA($E$10:E103)&amp;"","")</f>
        <v/>
      </c>
      <c r="B103" s="16" t="s">
        <v>123</v>
      </c>
      <c r="C103" s="17"/>
      <c r="D103" s="18"/>
      <c r="E103" s="18"/>
      <c r="F103" s="18"/>
      <c r="G103" s="18"/>
      <c r="H103" s="18"/>
      <c r="I103" s="18"/>
      <c r="J103" s="18"/>
      <c r="K103" s="18"/>
      <c r="L103" s="17"/>
    </row>
    <row r="104" spans="1:14" ht="25.5" x14ac:dyDescent="0.25">
      <c r="A104" s="88" t="str">
        <f>IF(TRIM(E104)&lt;&gt;"",COUNTA($E$10:E104)&amp;"","")</f>
        <v>94</v>
      </c>
      <c r="B104" s="19" t="s">
        <v>124</v>
      </c>
      <c r="C104" s="20" t="s">
        <v>1</v>
      </c>
      <c r="D104" s="21"/>
      <c r="E104" s="22">
        <f>Расчет!E6</f>
        <v>14.26</v>
      </c>
      <c r="F104" s="85">
        <f t="shared" ref="F104:F105" si="48">G104+H104</f>
        <v>0</v>
      </c>
      <c r="G104" s="86"/>
      <c r="H104" s="85"/>
      <c r="I104" s="85">
        <f t="shared" ref="I104:I105" si="49">J104+K104</f>
        <v>0</v>
      </c>
      <c r="J104" s="85">
        <f>G104*E104</f>
        <v>0</v>
      </c>
      <c r="K104" s="85"/>
      <c r="L104" s="23"/>
      <c r="N104" s="4"/>
    </row>
    <row r="105" spans="1:14" ht="25.5" x14ac:dyDescent="0.25">
      <c r="A105" s="24" t="str">
        <f>IF(TRIM(E105)&lt;&gt;"",COUNTA($E$10:E105)&amp;"","")</f>
        <v>95</v>
      </c>
      <c r="B105" s="25" t="s">
        <v>74</v>
      </c>
      <c r="C105" s="26" t="s">
        <v>20</v>
      </c>
      <c r="D105" s="27">
        <v>0.35</v>
      </c>
      <c r="E105" s="28">
        <f>E104*D105</f>
        <v>4.9909999999999997</v>
      </c>
      <c r="F105" s="89">
        <f t="shared" si="48"/>
        <v>0</v>
      </c>
      <c r="G105" s="89"/>
      <c r="H105" s="90"/>
      <c r="I105" s="89">
        <f t="shared" si="49"/>
        <v>0</v>
      </c>
      <c r="J105" s="89"/>
      <c r="K105" s="89">
        <f t="shared" ref="K105" si="50">H105*E105</f>
        <v>0</v>
      </c>
      <c r="L105" s="29" t="s">
        <v>11</v>
      </c>
      <c r="N105" s="4"/>
    </row>
    <row r="106" spans="1:14" ht="14.25" x14ac:dyDescent="0.25">
      <c r="A106" s="88" t="str">
        <f>IF(TRIM(E106)&lt;&gt;"",COUNTA($E$10:E106)&amp;"","")</f>
        <v>96</v>
      </c>
      <c r="B106" s="19" t="s">
        <v>125</v>
      </c>
      <c r="C106" s="20" t="s">
        <v>1</v>
      </c>
      <c r="D106" s="21"/>
      <c r="E106" s="22">
        <f>E104</f>
        <v>14.26</v>
      </c>
      <c r="F106" s="85">
        <f t="shared" ref="F105:F108" si="51">G106+H106</f>
        <v>0</v>
      </c>
      <c r="G106" s="86"/>
      <c r="H106" s="85"/>
      <c r="I106" s="85">
        <f t="shared" ref="I105:I119" si="52">J106+K106</f>
        <v>0</v>
      </c>
      <c r="J106" s="85">
        <f>G106*E106</f>
        <v>0</v>
      </c>
      <c r="K106" s="85"/>
      <c r="L106" s="23"/>
      <c r="N106" s="4"/>
    </row>
    <row r="107" spans="1:14" ht="25.5" x14ac:dyDescent="0.25">
      <c r="A107" s="24" t="str">
        <f>IF(TRIM(E107)&lt;&gt;"",COUNTA($E$10:E107)&amp;"","")</f>
        <v>97</v>
      </c>
      <c r="B107" s="30" t="s">
        <v>75</v>
      </c>
      <c r="C107" s="26" t="s">
        <v>1</v>
      </c>
      <c r="D107" s="27">
        <v>1.1499999999999999</v>
      </c>
      <c r="E107" s="28">
        <f>E106*D107</f>
        <v>16.398999999999997</v>
      </c>
      <c r="F107" s="89">
        <f t="shared" si="51"/>
        <v>0</v>
      </c>
      <c r="G107" s="89"/>
      <c r="H107" s="90"/>
      <c r="I107" s="89">
        <f t="shared" si="52"/>
        <v>0</v>
      </c>
      <c r="J107" s="89"/>
      <c r="K107" s="89">
        <f t="shared" ref="K107:K108" si="53">H107*E107</f>
        <v>0</v>
      </c>
      <c r="L107" s="31" t="s">
        <v>11</v>
      </c>
      <c r="N107" s="4"/>
    </row>
    <row r="108" spans="1:14" ht="25.5" x14ac:dyDescent="0.25">
      <c r="A108" s="24" t="str">
        <f>IF(TRIM(E108)&lt;&gt;"",COUNTA($E$10:E108)&amp;"","")</f>
        <v>98</v>
      </c>
      <c r="B108" s="32" t="s">
        <v>115</v>
      </c>
      <c r="C108" s="33" t="s">
        <v>3</v>
      </c>
      <c r="D108" s="34">
        <v>0.3</v>
      </c>
      <c r="E108" s="28">
        <f>E106*D108</f>
        <v>4.2779999999999996</v>
      </c>
      <c r="F108" s="89">
        <f t="shared" si="51"/>
        <v>0</v>
      </c>
      <c r="G108" s="89"/>
      <c r="H108" s="90"/>
      <c r="I108" s="89">
        <f t="shared" si="52"/>
        <v>0</v>
      </c>
      <c r="J108" s="89"/>
      <c r="K108" s="89">
        <f t="shared" si="53"/>
        <v>0</v>
      </c>
      <c r="L108" s="31" t="s">
        <v>11</v>
      </c>
      <c r="N108" s="4"/>
    </row>
    <row r="109" spans="1:14" ht="14.25" x14ac:dyDescent="0.25">
      <c r="A109" s="88" t="str">
        <f>IF(TRIM(E109)&lt;&gt;"",COUNTA($E$10:E109)&amp;"","")</f>
        <v>99</v>
      </c>
      <c r="B109" s="19" t="s">
        <v>80</v>
      </c>
      <c r="C109" s="20" t="s">
        <v>1</v>
      </c>
      <c r="D109" s="21"/>
      <c r="E109" s="22">
        <f>E104</f>
        <v>14.26</v>
      </c>
      <c r="F109" s="85">
        <f t="shared" ref="F109:F110" si="54">G109+H109</f>
        <v>0</v>
      </c>
      <c r="G109" s="86"/>
      <c r="H109" s="85"/>
      <c r="I109" s="85">
        <f t="shared" si="52"/>
        <v>0</v>
      </c>
      <c r="J109" s="85">
        <f>G109*E109</f>
        <v>0</v>
      </c>
      <c r="K109" s="85"/>
      <c r="L109" s="23"/>
      <c r="N109" s="4"/>
    </row>
    <row r="110" spans="1:14" ht="25.5" x14ac:dyDescent="0.25">
      <c r="A110" s="24" t="str">
        <f>IF(TRIM(E110)&lt;&gt;"",COUNTA($E$10:E110)&amp;"","")</f>
        <v>100</v>
      </c>
      <c r="B110" s="30" t="s">
        <v>81</v>
      </c>
      <c r="C110" s="26" t="s">
        <v>22</v>
      </c>
      <c r="D110" s="27">
        <v>1.1000000000000001</v>
      </c>
      <c r="E110" s="28">
        <f>E109*0.03*D110</f>
        <v>0.47058</v>
      </c>
      <c r="F110" s="89">
        <f t="shared" si="54"/>
        <v>0</v>
      </c>
      <c r="G110" s="89"/>
      <c r="H110" s="90"/>
      <c r="I110" s="89">
        <f t="shared" si="52"/>
        <v>0</v>
      </c>
      <c r="J110" s="89"/>
      <c r="K110" s="89">
        <f t="shared" ref="K110" si="55">H110*E110</f>
        <v>0</v>
      </c>
      <c r="L110" s="31" t="s">
        <v>11</v>
      </c>
      <c r="N110" s="4"/>
    </row>
    <row r="111" spans="1:14" ht="14.25" x14ac:dyDescent="0.25">
      <c r="A111" s="88" t="str">
        <f>IF(TRIM(E111)&lt;&gt;"",COUNTA($E$10:E111)&amp;"","")</f>
        <v>101</v>
      </c>
      <c r="B111" s="19" t="s">
        <v>51</v>
      </c>
      <c r="C111" s="20" t="s">
        <v>1</v>
      </c>
      <c r="D111" s="21"/>
      <c r="E111" s="22">
        <f>E109</f>
        <v>14.26</v>
      </c>
      <c r="F111" s="85">
        <f t="shared" ref="F109:F123" si="56">G111+H111</f>
        <v>0</v>
      </c>
      <c r="G111" s="86"/>
      <c r="H111" s="85"/>
      <c r="I111" s="85">
        <f t="shared" si="52"/>
        <v>0</v>
      </c>
      <c r="J111" s="85">
        <f>G111*E111</f>
        <v>0</v>
      </c>
      <c r="K111" s="85"/>
      <c r="L111" s="23"/>
      <c r="N111" s="4"/>
    </row>
    <row r="112" spans="1:14" ht="25.5" x14ac:dyDescent="0.25">
      <c r="A112" s="24" t="str">
        <f>IF(TRIM(E112)&lt;&gt;"",COUNTA($E$10:E112)&amp;"","")</f>
        <v>102</v>
      </c>
      <c r="B112" s="30" t="s">
        <v>72</v>
      </c>
      <c r="C112" s="26" t="s">
        <v>1</v>
      </c>
      <c r="D112" s="27">
        <v>1.1499999999999999</v>
      </c>
      <c r="E112" s="28">
        <f>E111*D112</f>
        <v>16.398999999999997</v>
      </c>
      <c r="F112" s="89">
        <f t="shared" si="56"/>
        <v>0</v>
      </c>
      <c r="G112" s="89"/>
      <c r="H112" s="90"/>
      <c r="I112" s="89">
        <f t="shared" si="52"/>
        <v>0</v>
      </c>
      <c r="J112" s="89"/>
      <c r="K112" s="89">
        <f t="shared" ref="K112" si="57">H112*E112</f>
        <v>0</v>
      </c>
      <c r="L112" s="31" t="s">
        <v>11</v>
      </c>
      <c r="N112" s="4"/>
    </row>
    <row r="113" spans="1:14" ht="38.25" x14ac:dyDescent="0.25">
      <c r="A113" s="88" t="str">
        <f>IF(TRIM(E113)&lt;&gt;"",COUNTA($E$10:E113)&amp;"","")</f>
        <v>103</v>
      </c>
      <c r="B113" s="19" t="s">
        <v>82</v>
      </c>
      <c r="C113" s="20" t="s">
        <v>1</v>
      </c>
      <c r="D113" s="21"/>
      <c r="E113" s="22">
        <f>E104</f>
        <v>14.26</v>
      </c>
      <c r="F113" s="85">
        <f t="shared" si="56"/>
        <v>0</v>
      </c>
      <c r="G113" s="86"/>
      <c r="H113" s="85"/>
      <c r="I113" s="85">
        <f t="shared" si="52"/>
        <v>0</v>
      </c>
      <c r="J113" s="85">
        <f>G113*E113</f>
        <v>0</v>
      </c>
      <c r="K113" s="85"/>
      <c r="L113" s="23"/>
      <c r="M113" s="5"/>
      <c r="N113" s="4"/>
    </row>
    <row r="114" spans="1:14" ht="25.5" x14ac:dyDescent="0.25">
      <c r="A114" s="24" t="str">
        <f>IF(TRIM(E114)&lt;&gt;"",COUNTA($E$10:E114)&amp;"","")</f>
        <v>104</v>
      </c>
      <c r="B114" s="25" t="s">
        <v>21</v>
      </c>
      <c r="C114" s="26" t="s">
        <v>22</v>
      </c>
      <c r="D114" s="35">
        <v>1.0149999999999999</v>
      </c>
      <c r="E114" s="28">
        <f>Расчет!K9</f>
        <v>0.71300000000000008</v>
      </c>
      <c r="F114" s="89">
        <f t="shared" si="56"/>
        <v>0</v>
      </c>
      <c r="G114" s="89"/>
      <c r="H114" s="90"/>
      <c r="I114" s="89">
        <f t="shared" si="52"/>
        <v>0</v>
      </c>
      <c r="J114" s="89"/>
      <c r="K114" s="89">
        <f t="shared" ref="K114:K115" si="58">H114*E114</f>
        <v>0</v>
      </c>
      <c r="L114" s="31" t="s">
        <v>11</v>
      </c>
      <c r="N114" s="4"/>
    </row>
    <row r="115" spans="1:14" ht="25.5" x14ac:dyDescent="0.25">
      <c r="A115" s="24" t="str">
        <f>IF(TRIM(E115)&lt;&gt;"",COUNTA($E$10:E115)&amp;"","")</f>
        <v>105</v>
      </c>
      <c r="B115" s="25" t="s">
        <v>73</v>
      </c>
      <c r="C115" s="26" t="s">
        <v>1</v>
      </c>
      <c r="D115" s="27">
        <v>1.2</v>
      </c>
      <c r="E115" s="28">
        <f>E113*D115</f>
        <v>17.111999999999998</v>
      </c>
      <c r="F115" s="89">
        <f t="shared" si="56"/>
        <v>0</v>
      </c>
      <c r="G115" s="89"/>
      <c r="H115" s="90"/>
      <c r="I115" s="89">
        <f t="shared" si="52"/>
        <v>0</v>
      </c>
      <c r="J115" s="89"/>
      <c r="K115" s="89">
        <f t="shared" si="58"/>
        <v>0</v>
      </c>
      <c r="L115" s="29" t="s">
        <v>11</v>
      </c>
      <c r="N115" s="4"/>
    </row>
    <row r="116" spans="1:14" ht="25.5" x14ac:dyDescent="0.25">
      <c r="A116" s="88" t="str">
        <f>IF(TRIM(E116)&lt;&gt;"",COUNTA($E$10:E116)&amp;"","")</f>
        <v>106</v>
      </c>
      <c r="B116" s="19" t="s">
        <v>124</v>
      </c>
      <c r="C116" s="20" t="s">
        <v>1</v>
      </c>
      <c r="D116" s="21"/>
      <c r="E116" s="22">
        <f>E104</f>
        <v>14.26</v>
      </c>
      <c r="F116" s="85">
        <f t="shared" si="56"/>
        <v>0</v>
      </c>
      <c r="G116" s="86"/>
      <c r="H116" s="85"/>
      <c r="I116" s="85">
        <f t="shared" si="52"/>
        <v>0</v>
      </c>
      <c r="J116" s="85">
        <f>G116*E116</f>
        <v>0</v>
      </c>
      <c r="K116" s="85"/>
      <c r="L116" s="23"/>
      <c r="N116" s="4"/>
    </row>
    <row r="117" spans="1:14" ht="25.5" x14ac:dyDescent="0.25">
      <c r="A117" s="24" t="str">
        <f>IF(TRIM(E117)&lt;&gt;"",COUNTA($E$10:E117)&amp;"","")</f>
        <v>107</v>
      </c>
      <c r="B117" s="25" t="s">
        <v>74</v>
      </c>
      <c r="C117" s="26" t="s">
        <v>20</v>
      </c>
      <c r="D117" s="27">
        <v>0.35</v>
      </c>
      <c r="E117" s="28">
        <f>E116*D117</f>
        <v>4.9909999999999997</v>
      </c>
      <c r="F117" s="89">
        <f t="shared" si="56"/>
        <v>0</v>
      </c>
      <c r="G117" s="89"/>
      <c r="H117" s="90"/>
      <c r="I117" s="89">
        <f t="shared" si="52"/>
        <v>0</v>
      </c>
      <c r="J117" s="89"/>
      <c r="K117" s="89">
        <f t="shared" ref="K117" si="59">H117*E117</f>
        <v>0</v>
      </c>
      <c r="L117" s="29" t="s">
        <v>11</v>
      </c>
      <c r="N117" s="4"/>
    </row>
    <row r="118" spans="1:14" ht="14.25" x14ac:dyDescent="0.25">
      <c r="A118" s="88" t="str">
        <f>IF(TRIM(E118)&lt;&gt;"",COUNTA($E$10:E118)&amp;"","")</f>
        <v>108</v>
      </c>
      <c r="B118" s="19" t="s">
        <v>83</v>
      </c>
      <c r="C118" s="20" t="s">
        <v>1</v>
      </c>
      <c r="D118" s="21"/>
      <c r="E118" s="22">
        <f>E104</f>
        <v>14.26</v>
      </c>
      <c r="F118" s="85">
        <f t="shared" si="56"/>
        <v>0</v>
      </c>
      <c r="G118" s="86"/>
      <c r="H118" s="85"/>
      <c r="I118" s="85">
        <f t="shared" si="52"/>
        <v>0</v>
      </c>
      <c r="J118" s="85">
        <f>G118*E118</f>
        <v>0</v>
      </c>
      <c r="K118" s="85"/>
      <c r="L118" s="23"/>
      <c r="N118" s="4"/>
    </row>
    <row r="119" spans="1:14" ht="25.5" x14ac:dyDescent="0.25">
      <c r="A119" s="24" t="str">
        <f>IF(TRIM(E119)&lt;&gt;"",COUNTA($E$10:E119)&amp;"","")</f>
        <v>109</v>
      </c>
      <c r="B119" s="25" t="s">
        <v>84</v>
      </c>
      <c r="C119" s="26" t="s">
        <v>20</v>
      </c>
      <c r="D119" s="27">
        <f>0.35*2</f>
        <v>0.7</v>
      </c>
      <c r="E119" s="28">
        <f>E118*D119</f>
        <v>9.9819999999999993</v>
      </c>
      <c r="F119" s="89">
        <f t="shared" si="56"/>
        <v>0</v>
      </c>
      <c r="G119" s="89"/>
      <c r="H119" s="90"/>
      <c r="I119" s="89">
        <f t="shared" si="52"/>
        <v>0</v>
      </c>
      <c r="J119" s="89"/>
      <c r="K119" s="89">
        <f t="shared" ref="K119" si="60">H119*E119</f>
        <v>0</v>
      </c>
      <c r="L119" s="29" t="s">
        <v>11</v>
      </c>
      <c r="N119" s="4"/>
    </row>
    <row r="120" spans="1:14" ht="25.5" x14ac:dyDescent="0.25">
      <c r="A120" s="88" t="str">
        <f>IF(TRIM(E120)&lt;&gt;"",COUNTA($E$10:E120)&amp;"","")</f>
        <v>110</v>
      </c>
      <c r="B120" s="47" t="s">
        <v>126</v>
      </c>
      <c r="C120" s="48" t="s">
        <v>1</v>
      </c>
      <c r="D120" s="49"/>
      <c r="E120" s="22">
        <f>E104</f>
        <v>14.26</v>
      </c>
      <c r="F120" s="85">
        <f t="shared" si="56"/>
        <v>0</v>
      </c>
      <c r="G120" s="86"/>
      <c r="H120" s="85"/>
      <c r="I120" s="85">
        <f t="shared" ref="I119:I121" si="61">J120+K120</f>
        <v>0</v>
      </c>
      <c r="J120" s="85">
        <f>G120*E120</f>
        <v>0</v>
      </c>
      <c r="K120" s="85"/>
      <c r="L120" s="50"/>
      <c r="N120" s="4"/>
    </row>
    <row r="121" spans="1:14" ht="25.5" x14ac:dyDescent="0.25">
      <c r="A121" s="24" t="str">
        <f>IF(TRIM(E121)&lt;&gt;"",COUNTA($E$10:E121)&amp;"","")</f>
        <v>111</v>
      </c>
      <c r="B121" s="51" t="s">
        <v>85</v>
      </c>
      <c r="C121" s="36" t="s">
        <v>1</v>
      </c>
      <c r="D121" s="52">
        <v>1.03</v>
      </c>
      <c r="E121" s="28">
        <f>E120*D121</f>
        <v>14.687799999999999</v>
      </c>
      <c r="F121" s="89">
        <f t="shared" si="56"/>
        <v>0</v>
      </c>
      <c r="G121" s="89"/>
      <c r="H121" s="90"/>
      <c r="I121" s="89">
        <f t="shared" si="61"/>
        <v>0</v>
      </c>
      <c r="J121" s="89"/>
      <c r="K121" s="89">
        <f t="shared" ref="K121" si="62">H121*E121</f>
        <v>0</v>
      </c>
      <c r="L121" s="31" t="s">
        <v>11</v>
      </c>
      <c r="N121" s="4"/>
    </row>
    <row r="122" spans="1:14" ht="25.5" x14ac:dyDescent="0.25">
      <c r="A122" s="88" t="str">
        <f>IF(TRIM(E122)&lt;&gt;"",COUNTA($E$10:E122)&amp;"","")</f>
        <v>112</v>
      </c>
      <c r="B122" s="19" t="s">
        <v>127</v>
      </c>
      <c r="C122" s="20" t="s">
        <v>1</v>
      </c>
      <c r="D122" s="21"/>
      <c r="E122" s="22">
        <f>E104</f>
        <v>14.26</v>
      </c>
      <c r="F122" s="85">
        <f t="shared" si="56"/>
        <v>0</v>
      </c>
      <c r="G122" s="86"/>
      <c r="H122" s="85"/>
      <c r="I122" s="85">
        <f t="shared" ref="I121:I124" si="63">J122+K122</f>
        <v>0</v>
      </c>
      <c r="J122" s="85">
        <f>G122*E122</f>
        <v>0</v>
      </c>
      <c r="K122" s="85"/>
      <c r="L122" s="23"/>
      <c r="M122" s="5"/>
      <c r="N122" s="4"/>
    </row>
    <row r="123" spans="1:14" ht="25.5" x14ac:dyDescent="0.25">
      <c r="A123" s="24" t="str">
        <f>IF(TRIM(E123)&lt;&gt;"",COUNTA($E$10:E123)&amp;"","")</f>
        <v>113</v>
      </c>
      <c r="B123" s="25" t="s">
        <v>86</v>
      </c>
      <c r="C123" s="26" t="s">
        <v>1</v>
      </c>
      <c r="D123" s="27">
        <v>1.02</v>
      </c>
      <c r="E123" s="28">
        <f>E122*D123</f>
        <v>14.545199999999999</v>
      </c>
      <c r="F123" s="89">
        <f t="shared" si="56"/>
        <v>0</v>
      </c>
      <c r="G123" s="89"/>
      <c r="H123" s="90"/>
      <c r="I123" s="89">
        <f t="shared" si="63"/>
        <v>0</v>
      </c>
      <c r="J123" s="89"/>
      <c r="K123" s="89">
        <f t="shared" ref="K123" si="64">H123*E123</f>
        <v>0</v>
      </c>
      <c r="L123" s="31" t="s">
        <v>11</v>
      </c>
      <c r="N123" s="4"/>
    </row>
    <row r="124" spans="1:14" customFormat="1" ht="15.75" x14ac:dyDescent="0.25">
      <c r="A124" s="91" t="s">
        <v>68</v>
      </c>
      <c r="B124" s="92"/>
      <c r="C124" s="92"/>
      <c r="D124" s="92"/>
      <c r="E124" s="93"/>
      <c r="F124" s="94"/>
      <c r="G124" s="94"/>
      <c r="H124" s="95"/>
      <c r="I124" s="96">
        <f t="shared" si="63"/>
        <v>0</v>
      </c>
      <c r="J124" s="96">
        <f>SUM(J10:J123)</f>
        <v>0</v>
      </c>
      <c r="K124" s="96">
        <f>SUM(K10:K123)</f>
        <v>0</v>
      </c>
      <c r="L124" s="97"/>
    </row>
    <row r="125" spans="1:14" customFormat="1" ht="15.75" x14ac:dyDescent="0.25">
      <c r="A125" s="98"/>
      <c r="B125" s="99" t="s">
        <v>12</v>
      </c>
      <c r="C125" s="100"/>
      <c r="D125" s="101"/>
      <c r="E125" s="102"/>
      <c r="F125" s="103"/>
      <c r="G125" s="104"/>
      <c r="H125" s="104"/>
      <c r="I125" s="103"/>
      <c r="J125" s="104"/>
      <c r="K125" s="104"/>
      <c r="L125" s="105"/>
    </row>
    <row r="126" spans="1:14" customFormat="1" ht="15.75" x14ac:dyDescent="0.25">
      <c r="A126" s="106"/>
      <c r="B126" s="107" t="s">
        <v>128</v>
      </c>
      <c r="C126" s="108"/>
      <c r="D126" s="109"/>
      <c r="E126" s="110"/>
      <c r="F126" s="96"/>
      <c r="G126" s="111"/>
      <c r="H126" s="111"/>
      <c r="I126" s="96"/>
      <c r="J126" s="111"/>
      <c r="K126" s="111"/>
      <c r="L126" s="112"/>
    </row>
    <row r="127" spans="1:14" customFormat="1" ht="78.75" x14ac:dyDescent="0.25">
      <c r="A127" s="106"/>
      <c r="B127" s="113" t="s">
        <v>158</v>
      </c>
      <c r="C127" s="108"/>
      <c r="D127" s="109"/>
      <c r="E127" s="114"/>
      <c r="F127" s="96"/>
      <c r="G127" s="111"/>
      <c r="H127" s="111"/>
      <c r="I127" s="96"/>
      <c r="J127" s="111"/>
      <c r="K127" s="111"/>
      <c r="L127" s="112"/>
    </row>
    <row r="128" spans="1:14" customFormat="1" ht="15.75" x14ac:dyDescent="0.25">
      <c r="A128" s="91" t="s">
        <v>159</v>
      </c>
      <c r="B128" s="92"/>
      <c r="C128" s="92"/>
      <c r="D128" s="92"/>
      <c r="E128" s="93"/>
      <c r="F128" s="96"/>
      <c r="G128" s="111"/>
      <c r="H128" s="111"/>
      <c r="I128" s="96">
        <f>J128+K128</f>
        <v>0</v>
      </c>
      <c r="J128" s="96">
        <f>J124</f>
        <v>0</v>
      </c>
      <c r="K128" s="96">
        <f>K124+K126+K127</f>
        <v>0</v>
      </c>
      <c r="L128" s="112"/>
    </row>
    <row r="129" spans="1:12" customFormat="1" ht="15.75" x14ac:dyDescent="0.25">
      <c r="A129" s="91" t="s">
        <v>160</v>
      </c>
      <c r="B129" s="92"/>
      <c r="C129" s="92"/>
      <c r="D129" s="92"/>
      <c r="E129" s="93"/>
      <c r="F129" s="96"/>
      <c r="G129" s="111"/>
      <c r="H129" s="111"/>
      <c r="I129" s="96">
        <f>I130-I128</f>
        <v>0</v>
      </c>
      <c r="J129" s="96"/>
      <c r="K129" s="96"/>
      <c r="L129" s="112"/>
    </row>
    <row r="130" spans="1:12" customFormat="1" ht="15.75" x14ac:dyDescent="0.25">
      <c r="A130" s="91" t="s">
        <v>161</v>
      </c>
      <c r="B130" s="92"/>
      <c r="C130" s="92"/>
      <c r="D130" s="92"/>
      <c r="E130" s="93"/>
      <c r="F130" s="96"/>
      <c r="G130" s="111"/>
      <c r="H130" s="111"/>
      <c r="I130" s="96">
        <f>I128*1.22</f>
        <v>0</v>
      </c>
      <c r="J130" s="111"/>
      <c r="K130" s="111"/>
      <c r="L130" s="112"/>
    </row>
    <row r="131" spans="1:12" customFormat="1" ht="15.75" x14ac:dyDescent="0.25">
      <c r="A131" s="115"/>
      <c r="B131" s="115"/>
      <c r="C131" s="115"/>
      <c r="D131" s="115"/>
      <c r="E131" s="115"/>
      <c r="F131" s="115"/>
      <c r="G131" s="115"/>
      <c r="H131" s="115"/>
      <c r="I131" s="115"/>
      <c r="J131" s="115"/>
      <c r="K131" s="115"/>
      <c r="L131" s="115"/>
    </row>
    <row r="132" spans="1:12" customFormat="1" ht="15.75" x14ac:dyDescent="0.25">
      <c r="A132" s="115"/>
      <c r="B132" s="116" t="s">
        <v>28</v>
      </c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</row>
    <row r="133" spans="1:12" customFormat="1" ht="15.75" x14ac:dyDescent="0.25">
      <c r="A133" s="115"/>
      <c r="B133" s="116" t="s">
        <v>29</v>
      </c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</row>
    <row r="134" spans="1:12" customFormat="1" ht="15.75" x14ac:dyDescent="0.25">
      <c r="A134" s="115"/>
      <c r="B134" s="115"/>
      <c r="C134" s="115"/>
      <c r="D134" s="115"/>
      <c r="E134" s="115"/>
      <c r="F134" s="115"/>
      <c r="G134" s="115"/>
      <c r="H134" s="115"/>
      <c r="I134" s="115"/>
      <c r="J134" s="115"/>
      <c r="K134" s="115"/>
      <c r="L134" s="115"/>
    </row>
    <row r="135" spans="1:12" customFormat="1" ht="15.75" x14ac:dyDescent="0.25">
      <c r="A135" s="117"/>
      <c r="B135" s="118" t="s">
        <v>162</v>
      </c>
      <c r="C135" s="119"/>
      <c r="D135" s="119"/>
      <c r="E135" s="119"/>
      <c r="F135" s="120"/>
      <c r="G135" s="121" t="s">
        <v>163</v>
      </c>
      <c r="H135" s="122"/>
      <c r="I135" s="122"/>
      <c r="J135" s="122"/>
      <c r="K135" s="123"/>
      <c r="L135" s="115"/>
    </row>
    <row r="136" spans="1:12" customFormat="1" ht="15.75" x14ac:dyDescent="0.25">
      <c r="A136" s="117"/>
      <c r="B136" s="124" t="s">
        <v>164</v>
      </c>
      <c r="C136" s="124"/>
      <c r="D136" s="124"/>
      <c r="E136" s="124"/>
      <c r="F136" s="124"/>
      <c r="G136" s="125" t="s">
        <v>165</v>
      </c>
      <c r="H136" s="126"/>
      <c r="I136" s="126"/>
      <c r="J136" s="126"/>
      <c r="K136" s="127"/>
      <c r="L136" s="128"/>
    </row>
    <row r="137" spans="1:12" customFormat="1" ht="15.75" x14ac:dyDescent="0.25">
      <c r="A137" s="117"/>
      <c r="B137" s="129" t="s">
        <v>166</v>
      </c>
      <c r="C137" s="130"/>
      <c r="D137" s="130"/>
      <c r="E137" s="130"/>
      <c r="F137" s="131"/>
      <c r="G137" s="125" t="s">
        <v>165</v>
      </c>
      <c r="H137" s="126"/>
      <c r="I137" s="126"/>
      <c r="J137" s="126"/>
      <c r="K137" s="127"/>
      <c r="L137" s="132"/>
    </row>
    <row r="138" spans="1:12" customFormat="1" ht="15.75" x14ac:dyDescent="0.25">
      <c r="A138" s="117"/>
      <c r="B138" s="129" t="s">
        <v>167</v>
      </c>
      <c r="C138" s="130"/>
      <c r="D138" s="130"/>
      <c r="E138" s="130"/>
      <c r="F138" s="131"/>
      <c r="G138" s="125" t="s">
        <v>165</v>
      </c>
      <c r="H138" s="126"/>
      <c r="I138" s="126"/>
      <c r="J138" s="126"/>
      <c r="K138" s="127"/>
      <c r="L138" s="128"/>
    </row>
    <row r="139" spans="1:12" customFormat="1" ht="15.75" x14ac:dyDescent="0.25">
      <c r="A139" s="117"/>
      <c r="B139" s="129" t="s">
        <v>13</v>
      </c>
      <c r="C139" s="130"/>
      <c r="D139" s="130"/>
      <c r="E139" s="130"/>
      <c r="F139" s="131"/>
      <c r="G139" s="133" t="s">
        <v>14</v>
      </c>
      <c r="H139" s="134"/>
      <c r="I139" s="134"/>
      <c r="J139" s="134"/>
      <c r="K139" s="135"/>
      <c r="L139" s="128"/>
    </row>
    <row r="140" spans="1:12" customFormat="1" ht="15.75" x14ac:dyDescent="0.25">
      <c r="A140" s="117"/>
      <c r="B140" s="129" t="s">
        <v>168</v>
      </c>
      <c r="C140" s="130"/>
      <c r="D140" s="130"/>
      <c r="E140" s="130"/>
      <c r="F140" s="131"/>
      <c r="G140" s="133" t="s">
        <v>14</v>
      </c>
      <c r="H140" s="134"/>
      <c r="I140" s="134"/>
      <c r="J140" s="134"/>
      <c r="K140" s="135"/>
      <c r="L140" s="128"/>
    </row>
    <row r="141" spans="1:12" customFormat="1" ht="15.75" x14ac:dyDescent="0.25">
      <c r="A141" s="117"/>
      <c r="B141" s="129" t="s">
        <v>15</v>
      </c>
      <c r="C141" s="130"/>
      <c r="D141" s="130"/>
      <c r="E141" s="130"/>
      <c r="F141" s="131"/>
      <c r="G141" s="133" t="s">
        <v>14</v>
      </c>
      <c r="H141" s="134"/>
      <c r="I141" s="134"/>
      <c r="J141" s="134"/>
      <c r="K141" s="135"/>
      <c r="L141" s="128"/>
    </row>
    <row r="142" spans="1:12" customFormat="1" ht="15.75" x14ac:dyDescent="0.25">
      <c r="A142" s="117"/>
      <c r="B142" s="129" t="s">
        <v>16</v>
      </c>
      <c r="C142" s="130"/>
      <c r="D142" s="130"/>
      <c r="E142" s="130"/>
      <c r="F142" s="131"/>
      <c r="G142" s="133" t="s">
        <v>17</v>
      </c>
      <c r="H142" s="134"/>
      <c r="I142" s="134"/>
      <c r="J142" s="134"/>
      <c r="K142" s="135"/>
      <c r="L142" s="128"/>
    </row>
    <row r="143" spans="1:12" customFormat="1" ht="15.75" x14ac:dyDescent="0.25">
      <c r="A143" s="117"/>
      <c r="B143" s="129" t="s">
        <v>18</v>
      </c>
      <c r="C143" s="130"/>
      <c r="D143" s="130"/>
      <c r="E143" s="130"/>
      <c r="F143" s="131"/>
      <c r="G143" s="125" t="s">
        <v>165</v>
      </c>
      <c r="H143" s="126"/>
      <c r="I143" s="126"/>
      <c r="J143" s="126"/>
      <c r="K143" s="127"/>
      <c r="L143" s="128"/>
    </row>
    <row r="144" spans="1:12" customFormat="1" ht="15.75" x14ac:dyDescent="0.25">
      <c r="A144" s="117"/>
      <c r="B144" s="129" t="s">
        <v>169</v>
      </c>
      <c r="C144" s="130"/>
      <c r="D144" s="130"/>
      <c r="E144" s="130"/>
      <c r="F144" s="131"/>
      <c r="G144" s="133" t="s">
        <v>17</v>
      </c>
      <c r="H144" s="134"/>
      <c r="I144" s="134"/>
      <c r="J144" s="134"/>
      <c r="K144" s="135"/>
      <c r="L144" s="128"/>
    </row>
    <row r="145" spans="1:12" customFormat="1" ht="15.75" x14ac:dyDescent="0.25">
      <c r="A145" s="117"/>
      <c r="B145" s="136" t="s">
        <v>170</v>
      </c>
      <c r="C145" s="137"/>
      <c r="D145" s="137"/>
      <c r="E145" s="137"/>
      <c r="F145" s="138"/>
      <c r="G145" s="133" t="s">
        <v>17</v>
      </c>
      <c r="H145" s="134"/>
      <c r="I145" s="134"/>
      <c r="J145" s="134"/>
      <c r="K145" s="135"/>
      <c r="L145" s="128"/>
    </row>
    <row r="146" spans="1:12" customFormat="1" ht="15.75" x14ac:dyDescent="0.25">
      <c r="A146" s="117"/>
      <c r="B146" s="136" t="s">
        <v>171</v>
      </c>
      <c r="C146" s="137"/>
      <c r="D146" s="137"/>
      <c r="E146" s="137"/>
      <c r="F146" s="138"/>
      <c r="G146" s="133" t="s">
        <v>17</v>
      </c>
      <c r="H146" s="134"/>
      <c r="I146" s="134"/>
      <c r="J146" s="134"/>
      <c r="K146" s="135"/>
      <c r="L146" s="128"/>
    </row>
    <row r="147" spans="1:12" customFormat="1" ht="15.75" x14ac:dyDescent="0.25">
      <c r="A147" s="117"/>
      <c r="B147" s="136" t="s">
        <v>172</v>
      </c>
      <c r="C147" s="137"/>
      <c r="D147" s="137"/>
      <c r="E147" s="137"/>
      <c r="F147" s="138"/>
      <c r="G147" s="133" t="s">
        <v>173</v>
      </c>
      <c r="H147" s="134"/>
      <c r="I147" s="134"/>
      <c r="J147" s="134"/>
      <c r="K147" s="135"/>
      <c r="L147" s="128"/>
    </row>
    <row r="148" spans="1:12" customFormat="1" ht="15.75" customHeight="1" x14ac:dyDescent="0.25">
      <c r="A148" s="117"/>
      <c r="B148" s="136" t="s">
        <v>174</v>
      </c>
      <c r="C148" s="137"/>
      <c r="D148" s="137"/>
      <c r="E148" s="137"/>
      <c r="F148" s="138"/>
      <c r="G148" s="133" t="s">
        <v>17</v>
      </c>
      <c r="H148" s="134"/>
      <c r="I148" s="134"/>
      <c r="J148" s="134"/>
      <c r="K148" s="135"/>
      <c r="L148" s="128"/>
    </row>
    <row r="149" spans="1:12" customFormat="1" ht="39.75" customHeight="1" x14ac:dyDescent="0.25">
      <c r="A149" s="117"/>
      <c r="B149" s="136" t="s">
        <v>175</v>
      </c>
      <c r="C149" s="137"/>
      <c r="D149" s="137"/>
      <c r="E149" s="137"/>
      <c r="F149" s="138"/>
      <c r="G149" s="139" t="s">
        <v>176</v>
      </c>
      <c r="H149" s="140" t="s">
        <v>177</v>
      </c>
      <c r="I149" s="140"/>
      <c r="J149" s="140"/>
      <c r="K149" s="141"/>
      <c r="L149" s="128"/>
    </row>
    <row r="150" spans="1:12" customFormat="1" ht="15.75" x14ac:dyDescent="0.25">
      <c r="A150" s="117"/>
      <c r="B150" s="136" t="s">
        <v>178</v>
      </c>
      <c r="C150" s="137"/>
      <c r="D150" s="137"/>
      <c r="E150" s="137"/>
      <c r="F150" s="138"/>
      <c r="G150" s="133"/>
      <c r="H150" s="134"/>
      <c r="I150" s="134"/>
      <c r="J150" s="134"/>
      <c r="K150" s="135"/>
      <c r="L150" s="128"/>
    </row>
  </sheetData>
  <autoFilter ref="A7:L132" xr:uid="{66008CA4-A0F2-4BAB-AD12-DC62BA92BF95}"/>
  <mergeCells count="51">
    <mergeCell ref="B148:F148"/>
    <mergeCell ref="G148:K148"/>
    <mergeCell ref="B149:F149"/>
    <mergeCell ref="G149:K149"/>
    <mergeCell ref="B150:F150"/>
    <mergeCell ref="G150:K150"/>
    <mergeCell ref="B145:F145"/>
    <mergeCell ref="G145:K145"/>
    <mergeCell ref="B146:F146"/>
    <mergeCell ref="G146:K146"/>
    <mergeCell ref="B147:F147"/>
    <mergeCell ref="G147:K147"/>
    <mergeCell ref="G141:K141"/>
    <mergeCell ref="G142:K142"/>
    <mergeCell ref="B143:F143"/>
    <mergeCell ref="G143:K143"/>
    <mergeCell ref="B144:F144"/>
    <mergeCell ref="G144:K144"/>
    <mergeCell ref="A124:E124"/>
    <mergeCell ref="A128:E128"/>
    <mergeCell ref="A129:E129"/>
    <mergeCell ref="A130:E130"/>
    <mergeCell ref="G135:K135"/>
    <mergeCell ref="B137:F137"/>
    <mergeCell ref="B138:F138"/>
    <mergeCell ref="B142:F142"/>
    <mergeCell ref="B139:F139"/>
    <mergeCell ref="B140:F140"/>
    <mergeCell ref="B141:F141"/>
    <mergeCell ref="G137:K137"/>
    <mergeCell ref="G138:K138"/>
    <mergeCell ref="G139:K139"/>
    <mergeCell ref="G140:K140"/>
    <mergeCell ref="B136:F136"/>
    <mergeCell ref="B135:F135"/>
    <mergeCell ref="G136:K136"/>
    <mergeCell ref="A1:L1"/>
    <mergeCell ref="A2:L2"/>
    <mergeCell ref="A3:L3"/>
    <mergeCell ref="A4:A6"/>
    <mergeCell ref="B4:B6"/>
    <mergeCell ref="C4:C6"/>
    <mergeCell ref="D4:D6"/>
    <mergeCell ref="E4:E6"/>
    <mergeCell ref="F4:H4"/>
    <mergeCell ref="I4:K4"/>
    <mergeCell ref="L4:L6"/>
    <mergeCell ref="F5:F6"/>
    <mergeCell ref="G5:H5"/>
    <mergeCell ref="I5:I6"/>
    <mergeCell ref="J5:K5"/>
  </mergeCells>
  <phoneticPr fontId="19" type="noConversion"/>
  <pageMargins left="0.17" right="0.17" top="0.48" bottom="0.17" header="0.31496062992125984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D5A4E-5C51-456F-819F-25E7FBB24BF8}">
  <dimension ref="A2:P10"/>
  <sheetViews>
    <sheetView topLeftCell="L1" workbookViewId="0">
      <selection activeCell="P10" sqref="P10"/>
    </sheetView>
  </sheetViews>
  <sheetFormatPr defaultRowHeight="12.75" x14ac:dyDescent="0.2"/>
  <cols>
    <col min="1" max="1" width="15.5703125" style="53" customWidth="1"/>
    <col min="2" max="2" width="12.85546875" style="53" customWidth="1"/>
    <col min="3" max="3" width="18.140625" style="54" customWidth="1"/>
    <col min="4" max="4" width="16" style="54" customWidth="1"/>
    <col min="5" max="6" width="22.85546875" style="53" customWidth="1"/>
    <col min="7" max="7" width="3.7109375" style="53" customWidth="1"/>
    <col min="8" max="8" width="21.85546875" style="53" bestFit="1" customWidth="1"/>
    <col min="9" max="9" width="9.140625" style="53"/>
    <col min="10" max="11" width="9.5703125" style="53" bestFit="1" customWidth="1"/>
    <col min="12" max="16384" width="9.140625" style="53"/>
  </cols>
  <sheetData>
    <row r="2" spans="1:16" x14ac:dyDescent="0.2">
      <c r="A2" s="53" t="s">
        <v>70</v>
      </c>
      <c r="H2" s="53" t="s">
        <v>69</v>
      </c>
      <c r="N2" s="53" t="s">
        <v>135</v>
      </c>
      <c r="O2" s="53" t="s">
        <v>134</v>
      </c>
    </row>
    <row r="3" spans="1:16" ht="25.5" x14ac:dyDescent="0.2">
      <c r="A3" s="79" t="s">
        <v>137</v>
      </c>
      <c r="B3" s="55" t="s">
        <v>66</v>
      </c>
      <c r="C3" s="55" t="s">
        <v>30</v>
      </c>
      <c r="D3" s="56" t="s">
        <v>65</v>
      </c>
      <c r="E3" s="55" t="s">
        <v>31</v>
      </c>
      <c r="F3" s="56" t="s">
        <v>32</v>
      </c>
      <c r="H3" s="57" t="s">
        <v>35</v>
      </c>
      <c r="I3" s="57" t="s">
        <v>36</v>
      </c>
      <c r="J3" s="57" t="s">
        <v>37</v>
      </c>
      <c r="K3" s="57" t="s">
        <v>38</v>
      </c>
      <c r="L3" s="82" t="s">
        <v>43</v>
      </c>
      <c r="N3" s="58" t="s">
        <v>132</v>
      </c>
      <c r="O3" s="58">
        <v>3</v>
      </c>
      <c r="P3" s="53" t="s">
        <v>150</v>
      </c>
    </row>
    <row r="4" spans="1:16" x14ac:dyDescent="0.2">
      <c r="A4" s="80"/>
      <c r="B4" s="55">
        <v>1</v>
      </c>
      <c r="C4" s="59"/>
      <c r="D4" s="60"/>
      <c r="E4" s="61">
        <f>239.4+239.7</f>
        <v>479.1</v>
      </c>
      <c r="F4" s="61">
        <v>130.69</v>
      </c>
      <c r="H4" s="57" t="s">
        <v>40</v>
      </c>
      <c r="I4" s="57">
        <f>0.05</f>
        <v>0.05</v>
      </c>
      <c r="J4" s="57">
        <f t="shared" ref="J4:K4" si="0">0.05</f>
        <v>0.05</v>
      </c>
      <c r="K4" s="57">
        <f t="shared" si="0"/>
        <v>0.05</v>
      </c>
      <c r="L4" s="83"/>
      <c r="N4" s="58" t="s">
        <v>133</v>
      </c>
      <c r="O4" s="58">
        <v>2</v>
      </c>
      <c r="P4" s="53" t="s">
        <v>150</v>
      </c>
    </row>
    <row r="5" spans="1:16" x14ac:dyDescent="0.2">
      <c r="A5" s="80"/>
      <c r="B5" s="55">
        <v>2</v>
      </c>
      <c r="C5" s="62"/>
      <c r="D5" s="62"/>
      <c r="E5" s="61">
        <f>20.41+20.41</f>
        <v>40.82</v>
      </c>
      <c r="F5" s="61">
        <v>53.29</v>
      </c>
      <c r="H5" s="57" t="s">
        <v>41</v>
      </c>
      <c r="I5" s="63">
        <f>25.26-25.12</f>
        <v>0.14000000000000057</v>
      </c>
      <c r="J5" s="63">
        <f>27.85-27.8</f>
        <v>5.0000000000000711E-2</v>
      </c>
      <c r="K5" s="63">
        <v>0</v>
      </c>
      <c r="L5" s="83"/>
      <c r="N5" s="58" t="s">
        <v>141</v>
      </c>
      <c r="O5" s="58">
        <v>3</v>
      </c>
      <c r="P5" s="53" t="s">
        <v>150</v>
      </c>
    </row>
    <row r="6" spans="1:16" x14ac:dyDescent="0.2">
      <c r="A6" s="80"/>
      <c r="B6" s="55">
        <v>3</v>
      </c>
      <c r="C6" s="62"/>
      <c r="D6" s="62"/>
      <c r="E6" s="61">
        <f>7.13+7.13</f>
        <v>14.26</v>
      </c>
      <c r="F6" s="61">
        <v>0</v>
      </c>
      <c r="H6" s="57"/>
      <c r="I6" s="63"/>
      <c r="J6" s="63"/>
      <c r="K6" s="63"/>
      <c r="L6" s="83"/>
      <c r="N6" s="58" t="s">
        <v>142</v>
      </c>
      <c r="O6" s="58">
        <v>2</v>
      </c>
      <c r="P6" s="53" t="s">
        <v>150</v>
      </c>
    </row>
    <row r="7" spans="1:16" x14ac:dyDescent="0.2">
      <c r="A7" s="81"/>
      <c r="B7" s="55" t="s">
        <v>67</v>
      </c>
      <c r="C7" s="56"/>
      <c r="D7" s="62"/>
      <c r="E7" s="64"/>
      <c r="F7" s="61">
        <v>54.56</v>
      </c>
      <c r="H7" s="57" t="s">
        <v>42</v>
      </c>
      <c r="I7" s="59">
        <f>E4</f>
        <v>479.1</v>
      </c>
      <c r="J7" s="59">
        <f>E5</f>
        <v>40.82</v>
      </c>
      <c r="K7" s="59">
        <f>E6</f>
        <v>14.26</v>
      </c>
      <c r="L7" s="84"/>
      <c r="N7" s="58" t="s">
        <v>138</v>
      </c>
      <c r="O7" s="58">
        <v>2</v>
      </c>
      <c r="P7" s="53" t="s">
        <v>150</v>
      </c>
    </row>
    <row r="8" spans="1:16" x14ac:dyDescent="0.2">
      <c r="A8" s="65" t="s">
        <v>68</v>
      </c>
      <c r="B8" s="65"/>
      <c r="C8" s="56"/>
      <c r="D8" s="66"/>
      <c r="E8" s="64"/>
      <c r="F8" s="61">
        <f>SUM(F4:F7)</f>
        <v>238.54</v>
      </c>
      <c r="H8" s="57"/>
      <c r="I8" s="59"/>
      <c r="J8" s="59"/>
      <c r="K8" s="59"/>
      <c r="L8" s="67"/>
      <c r="N8" s="58" t="s">
        <v>139</v>
      </c>
      <c r="O8" s="58">
        <v>1</v>
      </c>
      <c r="P8" s="53" t="s">
        <v>150</v>
      </c>
    </row>
    <row r="9" spans="1:16" ht="25.5" x14ac:dyDescent="0.2">
      <c r="A9" s="68"/>
      <c r="B9" s="55"/>
      <c r="C9" s="69"/>
      <c r="D9" s="66"/>
      <c r="E9" s="70"/>
      <c r="F9" s="70"/>
      <c r="H9" s="57" t="s">
        <v>39</v>
      </c>
      <c r="I9" s="59">
        <f>(I7*I4)+((I7*I5)*2/3)</f>
        <v>68.671000000000191</v>
      </c>
      <c r="J9" s="59">
        <f>(J7*J4)+((J7*J5)*2/3)</f>
        <v>3.4016666666666859</v>
      </c>
      <c r="K9" s="59">
        <f>(K7*K4)+((K7*K5)*2/3)</f>
        <v>0.71300000000000008</v>
      </c>
      <c r="L9" s="71">
        <f>SUM(I9:K9)</f>
        <v>72.78566666666687</v>
      </c>
      <c r="N9" s="58" t="s">
        <v>146</v>
      </c>
      <c r="O9" s="58">
        <v>1</v>
      </c>
      <c r="P9" s="53" t="s">
        <v>150</v>
      </c>
    </row>
    <row r="10" spans="1:16" x14ac:dyDescent="0.2">
      <c r="N10" s="72"/>
      <c r="O10" s="72">
        <f>SUM(O3:O9)</f>
        <v>14</v>
      </c>
    </row>
  </sheetData>
  <mergeCells count="2">
    <mergeCell ref="A3:A7"/>
    <mergeCell ref="L3:L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ВОР</vt:lpstr>
      <vt:lpstr>Расчет</vt:lpstr>
      <vt:lpstr>ВОР!Область_печати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2026-06-11T11:58:37Z</dcterms:modified>
</cp:coreProperties>
</file>